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ropbox\IH kupione - aktualne transakcje (1)\Wrocław, Chrobrego 25 m. 8\"/>
    </mc:Choice>
  </mc:AlternateContent>
  <xr:revisionPtr revIDLastSave="0" documentId="13_ncr:1_{AA548F7B-214B-4332-A7C6-63F9DA6B39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aliza inwestycyjna" sheetId="1" r:id="rId1"/>
  </sheets>
  <definedNames>
    <definedName name="Z_5C97960D_1A0F_42A4_942F_A6E68C8CF6BC_.wvu.Cols" localSheetId="0" hidden="1">'Analiza inwestycyjna'!#REF!</definedName>
    <definedName name="Z_5C97960D_1A0F_42A4_942F_A6E68C8CF6BC_.wvu.Rows" localSheetId="0" hidden="1">'Analiza inwestycyjna'!#REF!,'Analiza inwestycyjna'!$42:$51</definedName>
  </definedNames>
  <calcPr calcId="191029" concurrentCalc="0"/>
  <customWorkbookViews>
    <customWorkbookView name="Piotr Hryniewicz - Widok osobisty" guid="{5C97960D-1A0F-42A4-942F-A6E68C8CF6BC}" mergeInterval="0" personalView="1" windowWidth="1920" windowHeight="1040" activeSheetId="1"/>
  </customWorkbookViews>
</workbook>
</file>

<file path=xl/calcChain.xml><?xml version="1.0" encoding="utf-8"?>
<calcChain xmlns="http://schemas.openxmlformats.org/spreadsheetml/2006/main">
  <c r="H18" i="1" l="1"/>
  <c r="J20" i="1"/>
  <c r="H20" i="1"/>
  <c r="J23" i="1"/>
  <c r="H23" i="1"/>
  <c r="J21" i="1"/>
  <c r="H21" i="1"/>
  <c r="J18" i="1"/>
  <c r="H5" i="1"/>
  <c r="I12" i="1"/>
  <c r="D46" i="1"/>
  <c r="D45" i="1"/>
  <c r="I8" i="1"/>
  <c r="J7" i="1"/>
  <c r="H10" i="1"/>
  <c r="K10" i="1"/>
  <c r="J9" i="1"/>
  <c r="K9" i="1"/>
  <c r="J22" i="1"/>
  <c r="K13" i="1"/>
  <c r="K6" i="1"/>
  <c r="I30" i="1"/>
  <c r="J11" i="1"/>
  <c r="K11" i="1"/>
  <c r="K30" i="1"/>
  <c r="M11" i="1"/>
  <c r="D9" i="1"/>
  <c r="K7" i="1"/>
  <c r="J8" i="1"/>
  <c r="K8" i="1"/>
  <c r="J12" i="1"/>
  <c r="K12" i="1"/>
  <c r="G23" i="1"/>
  <c r="M28" i="1"/>
  <c r="H19" i="1"/>
  <c r="D37" i="1"/>
  <c r="D25" i="1"/>
  <c r="M7" i="1"/>
  <c r="M34" i="1"/>
  <c r="M21" i="1"/>
  <c r="D30" i="1"/>
  <c r="D44" i="1"/>
  <c r="H22" i="1"/>
  <c r="D10" i="1"/>
  <c r="M33" i="1"/>
  <c r="M32" i="1"/>
  <c r="D47" i="1"/>
  <c r="D31" i="1"/>
  <c r="D36" i="1"/>
  <c r="D29" i="1"/>
  <c r="G44" i="1"/>
  <c r="M18" i="1"/>
  <c r="H14" i="1"/>
  <c r="H39" i="1"/>
  <c r="J19" i="1"/>
  <c r="D48" i="1"/>
  <c r="H44" i="1"/>
  <c r="H42" i="1"/>
  <c r="M35" i="1"/>
  <c r="G45" i="1"/>
  <c r="H40" i="1"/>
  <c r="H35" i="1"/>
  <c r="J39" i="1"/>
  <c r="J42" i="1"/>
  <c r="J32" i="1"/>
  <c r="J33" i="1"/>
  <c r="J35" i="1"/>
  <c r="J34" i="1"/>
  <c r="H32" i="1"/>
  <c r="H33" i="1"/>
  <c r="H34" i="1"/>
  <c r="H45" i="1"/>
  <c r="H46" i="1"/>
  <c r="J40" i="1"/>
  <c r="J45" i="1"/>
  <c r="J49" i="1"/>
  <c r="D49" i="1"/>
  <c r="H48" i="1"/>
  <c r="H49" i="1"/>
  <c r="J41" i="1"/>
  <c r="K41" i="1"/>
  <c r="J46" i="1"/>
  <c r="J47" i="1"/>
  <c r="K47" i="1"/>
  <c r="H47" i="1"/>
  <c r="I47" i="1"/>
  <c r="H41" i="1"/>
  <c r="I41" i="1"/>
  <c r="J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Grynio</author>
    <author>Iza Hryniewicz</author>
    <author>Piotr Hryniewicz</author>
  </authors>
  <commentList>
    <comment ref="H4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38"/>
          </rPr>
          <t xml:space="preserve">aktualna kwota czynszu pozwalająca na rodzielenie poszczególnych pozycji związanych z kosztami, które mogą zostać przerzucone na najemcą
</t>
        </r>
      </text>
    </comment>
    <comment ref="I4" authorId="0" shapeId="0" xr:uid="{00000000-0006-0000-0000-000002000000}">
      <text>
        <r>
          <rPr>
            <b/>
            <sz val="10"/>
            <color rgb="FF000000"/>
            <rFont val="Tahoma"/>
            <family val="2"/>
            <charset val="238"/>
          </rPr>
          <t>prognozowane koszty zużycia poszczególnych mediów przy całkowicie wynajętym mieszkaniu na pokoje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</text>
    </comment>
    <comment ref="F6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38"/>
          </rPr>
          <t>opłata stała i zmienna za ciepłą i zimną wodę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4000000}">
      <text>
        <r>
          <rPr>
            <b/>
            <sz val="10"/>
            <color indexed="81"/>
            <rFont val="Tahoma"/>
            <family val="2"/>
            <charset val="238"/>
          </rPr>
          <t>"płacą najemcy" oznacza, że ten koszt jest rozliczany co miesiąc na podstawie liczników (zużycia) i przerzucony na najemców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
"płaci właściciel" oznacza, że właściciel rozlicza się z najemcami ryczałtem, który od nich pobiera, a miesięczne koszty zużycia pokrywa samodzielnie
</t>
        </r>
      </text>
    </comment>
    <comment ref="B9" authorId="0" shapeId="0" xr:uid="{00000000-0006-0000-0000-000005000000}">
      <text>
        <r>
          <rPr>
            <b/>
            <sz val="10"/>
            <color indexed="81"/>
            <rFont val="Tahoma"/>
            <family val="2"/>
            <charset val="238"/>
          </rPr>
          <t>nie dotyczy w przypadku SWPdL, chyba że będziemy przekształcać mieszkanie w odrębną własność, to warto to sprawdzić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0" shapeId="0" xr:uid="{00000000-0006-0000-00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jeżeli jest ujęty w czynszu spółdzielni
</t>
        </r>
      </text>
    </comment>
    <comment ref="H17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238"/>
          </rPr>
          <t xml:space="preserve">szacowanie na wartości obecnej można potraktować również jako wersję pesymistyczną najmu i sprawdzić, jaki uzyskamy współczynnik rentowności i jakie przepływy pieniężne przy różnych formach rozliczania
</t>
        </r>
      </text>
    </comment>
    <comment ref="F18" authorId="1" shapeId="0" xr:uid="{00000000-0006-0000-0000-000008000000}">
      <text>
        <r>
          <rPr>
            <b/>
            <sz val="10"/>
            <color indexed="81"/>
            <rFont val="Tahoma"/>
            <family val="2"/>
            <charset val="238"/>
          </rPr>
          <t>suma czynszów z umowy najmu płaconych terminowo (z rabatem), bez ryczałtu za media, opłat licznikowych i zaliczek</t>
        </r>
      </text>
    </comment>
    <comment ref="F19" authorId="0" shapeId="0" xr:uid="{00000000-0006-0000-0000-000009000000}">
      <text>
        <r>
          <rPr>
            <b/>
            <sz val="10"/>
            <color indexed="81"/>
            <rFont val="Tahoma"/>
            <family val="2"/>
            <charset val="238"/>
          </rPr>
          <t xml:space="preserve">jeśli koszty zużycia mediów rozliczasz z najemcami za pomocą stałego ryczałtu, wpisz tutaj stawkę za pojedynczą osobę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pozostaw 0 zł, jeśli media rozliczasz na podstawie bieżącego zużycia (liczniki)</t>
        </r>
      </text>
    </comment>
    <comment ref="F23" authorId="0" shapeId="0" xr:uid="{00000000-0006-0000-0000-00000A000000}">
      <text>
        <r>
          <rPr>
            <b/>
            <sz val="10"/>
            <color indexed="81"/>
            <rFont val="Tahoma"/>
            <family val="2"/>
            <charset val="238"/>
          </rPr>
          <t xml:space="preserve">porównanie do kosztów zarządzania na płaskiej stawce (bez rozbicia na pośrednictwo i administrację)
</t>
        </r>
      </text>
    </comment>
    <comment ref="F24" authorId="0" shapeId="0" xr:uid="{00000000-0006-0000-0000-00000B000000}">
      <text>
        <r>
          <rPr>
            <b/>
            <sz val="10"/>
            <color indexed="81"/>
            <rFont val="Tahoma"/>
            <family val="2"/>
            <charset val="238"/>
          </rPr>
          <t>ubezpieczenie, opłata za użytkowanie wieczyste</t>
        </r>
      </text>
    </comment>
    <comment ref="B29" authorId="1" shapeId="0" xr:uid="{00000000-0006-0000-0000-00000C000000}">
      <text>
        <r>
          <rPr>
            <b/>
            <sz val="10"/>
            <color indexed="81"/>
            <rFont val="Tahoma"/>
            <family val="2"/>
            <charset val="238"/>
          </rPr>
          <t>wartość gruntu nie podlega amortyzacji, można wyszczególnić tę kwotę w akcie notarialnym lub później wystąpić o sprostowanie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 xr:uid="{00000000-0006-0000-0000-00000D000000}">
      <text>
        <r>
          <rPr>
            <b/>
            <sz val="10"/>
            <color rgb="FF000000"/>
            <rFont val="Tahoma"/>
            <family val="2"/>
            <charset val="238"/>
          </rPr>
          <t>szacowany pustostan w ciągu roku wyrażony w tygodniach, bez możliwości odzyskania czynszu od najemców</t>
        </r>
      </text>
    </comment>
    <comment ref="B31" authorId="0" shapeId="0" xr:uid="{00000000-0006-0000-0000-00000E000000}">
      <text>
        <r>
          <rPr>
            <b/>
            <sz val="10"/>
            <color indexed="81"/>
            <rFont val="Tahoma"/>
            <family val="2"/>
            <charset val="238"/>
          </rPr>
          <t>to maksymalna stawka za notarialną umowę przyrzeczoną, jeśli wynegocjujesz niższą kwotę, zmień tę wartość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2" shapeId="0" xr:uid="{00000000-0006-0000-0000-00000F000000}">
      <text>
        <r>
          <rPr>
            <b/>
            <sz val="10"/>
            <color rgb="FF000000"/>
            <rFont val="Tahoma"/>
            <family val="2"/>
            <charset val="238"/>
          </rPr>
          <t xml:space="preserve">robocizna i materiały budowlane oraz meble kuchenne
</t>
        </r>
        <r>
          <rPr>
            <b/>
            <sz val="10"/>
            <color rgb="FF000000"/>
            <rFont val="Tahoma"/>
            <family val="2"/>
            <charset val="238"/>
          </rPr>
          <t xml:space="preserve">
</t>
        </r>
        <r>
          <rPr>
            <b/>
            <sz val="10"/>
            <color rgb="FF000000"/>
            <rFont val="Tahoma"/>
            <family val="2"/>
            <charset val="238"/>
          </rPr>
          <t>przy kapitalnym remoncie przyjmujemy 1000-1200 zł/m2 w zależności od zakresu prac</t>
        </r>
      </text>
    </comment>
    <comment ref="B34" authorId="2" shapeId="0" xr:uid="{00000000-0006-0000-0000-000010000000}">
      <text>
        <r>
          <rPr>
            <b/>
            <sz val="10"/>
            <color rgb="FF000000"/>
            <rFont val="Tahoma"/>
            <family val="2"/>
            <charset val="238"/>
          </rPr>
          <t xml:space="preserve">umeblowanie mieszkania, sprzęt AGD, wyposażenie pod najem
</t>
        </r>
        <r>
          <rPr>
            <b/>
            <sz val="10"/>
            <color rgb="FF000000"/>
            <rFont val="Tahoma"/>
            <family val="2"/>
            <charset val="238"/>
          </rPr>
          <t xml:space="preserve">
</t>
        </r>
        <r>
          <rPr>
            <b/>
            <sz val="10"/>
            <color rgb="FF000000"/>
            <rFont val="Tahoma"/>
            <family val="2"/>
            <charset val="238"/>
          </rPr>
          <t>przyjmujemy 2000-3000 zł na osobę</t>
        </r>
      </text>
    </comment>
    <comment ref="B35" authorId="0" shapeId="0" xr:uid="{00000000-0006-0000-0000-000011000000}">
      <text>
        <r>
          <rPr>
            <b/>
            <sz val="10"/>
            <color rgb="FF000000"/>
            <rFont val="Tahoma"/>
            <family val="2"/>
            <charset val="238"/>
          </rPr>
          <t xml:space="preserve">np.: operat szacunkowy, konsultacje prawne i podatkowe, koszty czynszu do spółdzielni/wspólnoty i media w trakcie remontu, zanim mieszkanie zostanie wynajęte
</t>
        </r>
      </text>
    </comment>
    <comment ref="B37" authorId="0" shapeId="0" xr:uid="{00000000-0006-0000-0000-000012000000}">
      <text>
        <r>
          <rPr>
            <b/>
            <sz val="10"/>
            <color indexed="81"/>
            <rFont val="Tahoma"/>
            <family val="2"/>
            <charset val="238"/>
          </rPr>
          <t>to wartość mieszkania podniesiona o faktyczne koszty remontu zwiększający jego wycenę - pozostałe koszty okołozakupowe oraz umeblowanie nie stanowią faktycznych kosztów zwiększających wartość mieszkania</t>
        </r>
      </text>
    </comment>
    <comment ref="F40" authorId="0" shapeId="0" xr:uid="{00000000-0006-0000-0000-000013000000}">
      <text>
        <r>
          <rPr>
            <b/>
            <sz val="10"/>
            <color rgb="FF000000"/>
            <rFont val="Tahoma"/>
            <family val="2"/>
            <charset val="238"/>
          </rPr>
          <t xml:space="preserve">pozycja uwzględnia zarządzanie oraz szacowany pustostan
</t>
        </r>
      </text>
    </comment>
    <comment ref="F41" authorId="0" shapeId="0" xr:uid="{00000000-0006-0000-0000-000014000000}">
      <text>
        <r>
          <rPr>
            <b/>
            <sz val="10"/>
            <color indexed="81"/>
            <rFont val="Tahoma"/>
            <family val="2"/>
            <charset val="238"/>
          </rPr>
          <t>w nawiasie czas zwrotu inwestycji</t>
        </r>
      </text>
    </comment>
    <comment ref="B45" authorId="0" shapeId="0" xr:uid="{00000000-0006-0000-0000-000015000000}">
      <text>
        <r>
          <rPr>
            <b/>
            <sz val="10"/>
            <color indexed="81"/>
            <rFont val="Tahoma"/>
            <family val="2"/>
            <charset val="238"/>
          </rPr>
          <t>koszty dodatkowe nie wliczone do kwoty kredytu: prowizja za udzielenie kredytu, koszt wyceny rzeczoznawcy, ubezpieczenie niskiego wkładu, cross-selling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" authorId="0" shapeId="0" xr:uid="{00000000-0006-0000-0000-000016000000}">
      <text>
        <r>
          <rPr>
            <b/>
            <sz val="10"/>
            <color indexed="81"/>
            <rFont val="Tahoma"/>
            <family val="2"/>
            <charset val="238"/>
          </rPr>
          <t>aby skorzystać z ujemnego podatku dochodowego generowanego przez amortyzację i odsetki od kredytu (tarcza podatkowa), trzeba posiadać inny dochód do opodatkowania z tego samego źródła (najem) lub w tej samej działalności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000-000017000000}">
      <text>
        <r>
          <rPr>
            <b/>
            <sz val="10"/>
            <color indexed="81"/>
            <rFont val="Tahoma"/>
            <family val="2"/>
            <charset val="238"/>
          </rPr>
          <t xml:space="preserve">rekomendacja KNF przewiduje finansowanie banków na 80% LTV, jednak w wielu bankach nadal można uzyskać kredyt hipoteczny na 90% LTV wykupując ubezpieczenie niskiego wkładu własnego. Więcej informacji znajdziesz na forum oraz w rapotach kredytowych.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6" authorId="0" shapeId="0" xr:uid="{00000000-0006-0000-0000-000018000000}">
      <text>
        <r>
          <rPr>
            <b/>
            <sz val="10"/>
            <color indexed="81"/>
            <rFont val="Tahoma"/>
            <family val="2"/>
            <charset val="238"/>
          </rPr>
          <t xml:space="preserve">pozycja uwzględnia zarządzanie oraz szacowany pustostan
</t>
        </r>
      </text>
    </comment>
    <comment ref="F47" authorId="0" shapeId="0" xr:uid="{00000000-0006-0000-0000-000019000000}">
      <text>
        <r>
          <rPr>
            <b/>
            <sz val="10"/>
            <color indexed="81"/>
            <rFont val="Tahoma"/>
            <family val="2"/>
            <charset val="238"/>
          </rPr>
          <t>z kosztami zarządzania i szacowanym pustostanem</t>
        </r>
      </text>
    </comment>
    <comment ref="F48" authorId="0" shapeId="0" xr:uid="{00000000-0006-0000-0000-00001A000000}">
      <text>
        <r>
          <rPr>
            <b/>
            <sz val="10"/>
            <color rgb="FF000000"/>
            <rFont val="Tahoma"/>
            <family val="2"/>
            <charset val="238"/>
          </rPr>
          <t>zysk nieuwzględniający ujemnego podatku dochodowego, jeśli nie mamy innych dochodów z tego samego źródła lub w działalności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F49" authorId="0" shapeId="0" xr:uid="{00000000-0006-0000-0000-00001B000000}">
      <text>
        <r>
          <rPr>
            <b/>
            <sz val="10"/>
            <color indexed="81"/>
            <rFont val="Tahoma"/>
            <family val="2"/>
            <charset val="238"/>
          </rPr>
          <t xml:space="preserve">zawiera również koszt podatkowy umeblowania i wyposażenia
</t>
        </r>
      </text>
    </comment>
  </commentList>
</comments>
</file>

<file path=xl/sharedStrings.xml><?xml version="1.0" encoding="utf-8"?>
<sst xmlns="http://schemas.openxmlformats.org/spreadsheetml/2006/main" count="126" uniqueCount="115">
  <si>
    <t>Metraż</t>
  </si>
  <si>
    <t>Piętro</t>
  </si>
  <si>
    <t>Koszt inwestycji</t>
  </si>
  <si>
    <t>Lokalizacja</t>
  </si>
  <si>
    <t>Szacowany koszt remontu</t>
  </si>
  <si>
    <t>Rata kredytowa</t>
  </si>
  <si>
    <t>Dodatkowe informacje finansowe</t>
  </si>
  <si>
    <t>Rodzaj i technologia budynku</t>
  </si>
  <si>
    <t>Prowizja pośrednika brutto</t>
  </si>
  <si>
    <t>spółdzielcze własnościowe z KW</t>
  </si>
  <si>
    <t>spółdzielcze własnościowe bez KW</t>
  </si>
  <si>
    <t>łazienka i WC oddzielnie</t>
  </si>
  <si>
    <t>nowe budownictwo</t>
  </si>
  <si>
    <t>Pozostałe koszty</t>
  </si>
  <si>
    <t>Wartość z operatu szacunkowego</t>
  </si>
  <si>
    <t>Ilość lat</t>
  </si>
  <si>
    <t>Marża banku</t>
  </si>
  <si>
    <t>Oprocentowanie</t>
  </si>
  <si>
    <t>Suma kosztów inwestycji</t>
  </si>
  <si>
    <t>Kwota kredytu</t>
  </si>
  <si>
    <t>Stopa zwrotu (ROE)</t>
  </si>
  <si>
    <t>Podatek</t>
  </si>
  <si>
    <t>Zysk po opodatkowaniu</t>
  </si>
  <si>
    <t>stare budownictwo - cegła</t>
  </si>
  <si>
    <t>VAT wliczony w cenę</t>
  </si>
  <si>
    <t>Podatek PCC</t>
  </si>
  <si>
    <t>Dodatkowe informacje (okna, podłogi, ściany, łazienka, kuchnia, meble, ogrzewanie)</t>
  </si>
  <si>
    <t>Wkład własny</t>
  </si>
  <si>
    <t>WIBOR 3M</t>
  </si>
  <si>
    <t>odrębna własność</t>
  </si>
  <si>
    <t>Łazienka/WC</t>
  </si>
  <si>
    <t>Koszty okołokredytowe</t>
  </si>
  <si>
    <t>Umeblowanie i wyposażenie</t>
  </si>
  <si>
    <t xml:space="preserve">    Podatek dochodowy</t>
  </si>
  <si>
    <t xml:space="preserve">            Amortyzacja</t>
  </si>
  <si>
    <t>dwie łazienki z WC</t>
  </si>
  <si>
    <t>wielka płyta/rama H – wysoki blok</t>
  </si>
  <si>
    <t>wielka płyta/rama H – niski blok</t>
  </si>
  <si>
    <t>nie dotyczy</t>
  </si>
  <si>
    <t>Docelowa liczba pokoi</t>
  </si>
  <si>
    <t>Docelowy metraż pokoi</t>
  </si>
  <si>
    <t>Koszty notarialne i sądowe</t>
  </si>
  <si>
    <t>1. Dane podstawowe mieszkania</t>
  </si>
  <si>
    <t>2. Dane finansowe zakupu mieszkania</t>
  </si>
  <si>
    <t>Internet, inne</t>
  </si>
  <si>
    <t>Szacowany pustostan w ciągu roku</t>
  </si>
  <si>
    <t>mieszkanie do kapitalnego remontu, okna PCV ok</t>
  </si>
  <si>
    <t>Wartość nieruchomości z remontem</t>
  </si>
  <si>
    <t>7. Analiza finansowa - cashflow</t>
  </si>
  <si>
    <t>Dodatkowe koszty roczne</t>
  </si>
  <si>
    <t>w sezonie</t>
  </si>
  <si>
    <t>3. Dane kredytowe</t>
  </si>
  <si>
    <t>obecnie</t>
  </si>
  <si>
    <t>koszt właściciela</t>
  </si>
  <si>
    <t>Suma kosztów obciążających właściciela</t>
  </si>
  <si>
    <t>płaci właściciel</t>
  </si>
  <si>
    <t>Energia elektryczna</t>
  </si>
  <si>
    <t>- woda ciepła i zimna:</t>
  </si>
  <si>
    <t>- zaliczka na ogrzewanie:</t>
  </si>
  <si>
    <t>- wywóz śmieci:</t>
  </si>
  <si>
    <t>płacą najemcy</t>
  </si>
  <si>
    <t>Czynsz z umowy najmu</t>
  </si>
  <si>
    <t>Przychód z ryczałtu za media</t>
  </si>
  <si>
    <t>Docelowa liczba najemców</t>
  </si>
  <si>
    <t>Stawka ryczałtu za media za osobę</t>
  </si>
  <si>
    <t>Cena zakupu</t>
  </si>
  <si>
    <t>w tym wartość gruntu</t>
  </si>
  <si>
    <t>Stan prawny mieszkania</t>
  </si>
  <si>
    <t>Stan prawny gruntu</t>
  </si>
  <si>
    <t>Przekształcenie w odrębną własność</t>
  </si>
  <si>
    <t>tak, jest możliwość</t>
  </si>
  <si>
    <t>nie ma możliwości</t>
  </si>
  <si>
    <t>własność</t>
  </si>
  <si>
    <t>4. Miesięczne koszty utrzymania mieszkania</t>
  </si>
  <si>
    <t>5. Dane finansowe z wynajmu mieszkania</t>
  </si>
  <si>
    <t>6. Współczynnik rentowności (WR)</t>
  </si>
  <si>
    <t xml:space="preserve"> </t>
  </si>
  <si>
    <t>dotychczas</t>
  </si>
  <si>
    <t>przewidywane kwoty zużycia przy wynajmie</t>
  </si>
  <si>
    <t>WR z szacowanym pustostanem (WR+P)</t>
  </si>
  <si>
    <t>WR z zarządzaniem (WR+Z)</t>
  </si>
  <si>
    <t>Podatek dochodowy (skala lub liniówka)</t>
  </si>
  <si>
    <t>Ryczałt (8,5%)</t>
  </si>
  <si>
    <t>WR z zarządzaniem i pustostanem (WR+Z+P)</t>
  </si>
  <si>
    <t>łazienka z WC i oddzielne WC</t>
  </si>
  <si>
    <t>jedna łazienka razem z WC</t>
  </si>
  <si>
    <t>- pozostałe koszty z czynszu:</t>
  </si>
  <si>
    <t>Gaz</t>
  </si>
  <si>
    <t>średnia odsetek w 1 roku</t>
  </si>
  <si>
    <t>Roczna kwota zysku</t>
  </si>
  <si>
    <t>Zysk bez tarczy podatkowej</t>
  </si>
  <si>
    <t>- gaz:</t>
  </si>
  <si>
    <t>Cena za m2</t>
  </si>
  <si>
    <t>Prowizja przy wynajmie pokoi</t>
  </si>
  <si>
    <t>Koszty zarządzania (miesięczne)</t>
  </si>
  <si>
    <t>Porównanie do płaskiej stawki =</t>
  </si>
  <si>
    <t>Pełny czynsz do spółdzielni/wspólnoty, w tym:</t>
  </si>
  <si>
    <t>D9</t>
  </si>
  <si>
    <t>D10</t>
  </si>
  <si>
    <t>G44</t>
  </si>
  <si>
    <t>G45</t>
  </si>
  <si>
    <t>Pierwotna liczba pokoi</t>
  </si>
  <si>
    <t>Pierwotny metraż pokoi</t>
  </si>
  <si>
    <t>stan pierwotny</t>
  </si>
  <si>
    <t>zmiany po remoncie</t>
  </si>
  <si>
    <t>kontakt@edukacjainwestowania.pl</t>
  </si>
  <si>
    <t>Szablon Analiza inwestycyjna mieszkania (v.6.16) - Copyright © Piotr Hryniewicz</t>
  </si>
  <si>
    <t>Analiza inwestycyjna mieszkania (6.16)</t>
  </si>
  <si>
    <t>Wrocław, ul. Chrobrego 25/8</t>
  </si>
  <si>
    <t>2 z 4</t>
  </si>
  <si>
    <t xml:space="preserve">22 m2; 20 m2; 7.5 m2; </t>
  </si>
  <si>
    <t>9.4 m2; 7.5 m2; 7.5 m2, 14.2 m2, 9.6 m2 i 10.4 m2</t>
  </si>
  <si>
    <t>podział salonu na dwa pokoje, podział sypialni na dwa pokoje i przeniesienie kuchni na korytarz, dodatkowe WC w łazience, wymiana instalacji elektrycznej</t>
  </si>
  <si>
    <t>aktualnie pokoje wynajęte w cenie 525 + 600 + 800 (dwójka) + 700 + 750 + opłaty za media. Do wynajęcia został jeden pokój w cenie 700 zł</t>
  </si>
  <si>
    <t>szacujemy wynajem pokoi w cenie 2*600 (małe jedynki), 2*700 (duże jedynki), 2* 840 (największe jedynki) + opłaty za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</si>
</sst>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0.0%"/>
    <numFmt numFmtId="166" formatCode="#,##0\ &quot;zł&quot;"/>
  </numFmts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u/>
      <sz val="13"/>
      <color theme="10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CF04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9B9"/>
        <bgColor indexed="64"/>
      </patternFill>
    </fill>
    <fill>
      <patternFill patternType="solid">
        <fgColor rgb="FFE0F6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870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9" fontId="3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locked="0" hidden="1"/>
    </xf>
    <xf numFmtId="0" fontId="7" fillId="3" borderId="0" xfId="0" applyFont="1" applyFill="1" applyProtection="1">
      <protection locked="0" hidden="1"/>
    </xf>
    <xf numFmtId="0" fontId="0" fillId="5" borderId="0" xfId="0" applyFont="1" applyFill="1" applyProtection="1">
      <protection locked="0" hidden="1"/>
    </xf>
    <xf numFmtId="0" fontId="0" fillId="6" borderId="0" xfId="0" applyFont="1" applyFill="1" applyProtection="1">
      <protection locked="0" hidden="1"/>
    </xf>
    <xf numFmtId="8" fontId="0" fillId="6" borderId="0" xfId="0" applyNumberFormat="1" applyFont="1" applyFill="1" applyProtection="1">
      <protection locked="0" hidden="1"/>
    </xf>
    <xf numFmtId="0" fontId="0" fillId="3" borderId="0" xfId="0" applyFont="1" applyFill="1" applyProtection="1">
      <protection locked="0" hidden="1"/>
    </xf>
    <xf numFmtId="0" fontId="0" fillId="7" borderId="3" xfId="0" applyFont="1" applyFill="1" applyBorder="1" applyAlignment="1" applyProtection="1">
      <protection hidden="1"/>
    </xf>
    <xf numFmtId="0" fontId="7" fillId="7" borderId="4" xfId="0" applyFont="1" applyFill="1" applyBorder="1" applyProtection="1">
      <protection hidden="1"/>
    </xf>
    <xf numFmtId="0" fontId="0" fillId="7" borderId="5" xfId="0" applyFont="1" applyFill="1" applyBorder="1" applyAlignment="1" applyProtection="1">
      <protection hidden="1"/>
    </xf>
    <xf numFmtId="0" fontId="0" fillId="7" borderId="6" xfId="0" applyFont="1" applyFill="1" applyBorder="1" applyAlignment="1" applyProtection="1">
      <alignment horizontal="center"/>
      <protection hidden="1"/>
    </xf>
    <xf numFmtId="0" fontId="0" fillId="4" borderId="0" xfId="0" applyFont="1" applyFill="1" applyProtection="1">
      <protection locked="0" hidden="1"/>
    </xf>
    <xf numFmtId="0" fontId="0" fillId="7" borderId="6" xfId="0" applyFont="1" applyFill="1" applyBorder="1" applyAlignment="1" applyProtection="1">
      <protection hidden="1"/>
    </xf>
    <xf numFmtId="0" fontId="0" fillId="7" borderId="7" xfId="0" applyFont="1" applyFill="1" applyBorder="1" applyAlignment="1" applyProtection="1">
      <protection hidden="1"/>
    </xf>
    <xf numFmtId="0" fontId="0" fillId="7" borderId="8" xfId="0" applyFont="1" applyFill="1" applyBorder="1" applyAlignment="1" applyProtection="1">
      <protection hidden="1"/>
    </xf>
    <xf numFmtId="2" fontId="0" fillId="7" borderId="6" xfId="0" applyNumberFormat="1" applyFont="1" applyFill="1" applyBorder="1" applyAlignment="1" applyProtection="1">
      <protection hidden="1"/>
    </xf>
    <xf numFmtId="2" fontId="0" fillId="7" borderId="8" xfId="0" applyNumberFormat="1" applyFont="1" applyFill="1" applyBorder="1" applyAlignment="1" applyProtection="1">
      <protection hidden="1"/>
    </xf>
    <xf numFmtId="0" fontId="0" fillId="2" borderId="9" xfId="0" applyFont="1" applyFill="1" applyBorder="1" applyAlignment="1" applyProtection="1">
      <alignment horizontal="right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3" fillId="2" borderId="9" xfId="2" applyFont="1" applyFill="1" applyBorder="1" applyAlignment="1" applyProtection="1">
      <alignment horizontal="right" vertical="center"/>
      <protection hidden="1"/>
    </xf>
    <xf numFmtId="0" fontId="3" fillId="2" borderId="1" xfId="2" applyFont="1" applyFill="1" applyBorder="1" applyAlignment="1" applyProtection="1">
      <alignment horizontal="center" vertical="center"/>
      <protection hidden="1"/>
    </xf>
    <xf numFmtId="0" fontId="6" fillId="2" borderId="9" xfId="2" applyFont="1" applyFill="1" applyBorder="1" applyAlignment="1" applyProtection="1">
      <alignment horizontal="right" vertical="center"/>
      <protection hidden="1"/>
    </xf>
    <xf numFmtId="0" fontId="11" fillId="2" borderId="9" xfId="2" applyFont="1" applyFill="1" applyBorder="1" applyAlignment="1" applyProtection="1">
      <alignment horizontal="right" vertical="center"/>
      <protection hidden="1"/>
    </xf>
    <xf numFmtId="10" fontId="11" fillId="2" borderId="9" xfId="2" applyNumberFormat="1" applyFont="1" applyFill="1" applyBorder="1" applyAlignment="1" applyProtection="1">
      <alignment horizontal="right" vertical="center"/>
      <protection hidden="1"/>
    </xf>
    <xf numFmtId="164" fontId="11" fillId="2" borderId="9" xfId="2" applyNumberFormat="1" applyFont="1" applyFill="1" applyBorder="1" applyAlignment="1" applyProtection="1">
      <alignment horizontal="right" vertical="center"/>
      <protection hidden="1"/>
    </xf>
    <xf numFmtId="164" fontId="12" fillId="2" borderId="9" xfId="2" applyNumberFormat="1" applyFont="1" applyFill="1" applyBorder="1" applyAlignment="1" applyProtection="1">
      <alignment horizontal="right" vertical="center"/>
      <protection hidden="1"/>
    </xf>
    <xf numFmtId="0" fontId="7" fillId="2" borderId="9" xfId="2" applyFont="1" applyFill="1" applyBorder="1" applyAlignment="1" applyProtection="1">
      <alignment horizontal="right" vertical="center" wrapText="1"/>
      <protection hidden="1"/>
    </xf>
    <xf numFmtId="0" fontId="7" fillId="8" borderId="9" xfId="2" applyFont="1" applyFill="1" applyBorder="1" applyAlignment="1" applyProtection="1">
      <alignment horizontal="right" vertical="center"/>
      <protection hidden="1"/>
    </xf>
    <xf numFmtId="0" fontId="10" fillId="8" borderId="9" xfId="2" applyFont="1" applyFill="1" applyBorder="1" applyAlignment="1" applyProtection="1">
      <alignment horizontal="right" vertical="center"/>
      <protection hidden="1"/>
    </xf>
    <xf numFmtId="0" fontId="0" fillId="7" borderId="8" xfId="0" applyFont="1" applyFill="1" applyBorder="1" applyAlignment="1" applyProtection="1">
      <alignment horizontal="center"/>
      <protection hidden="1"/>
    </xf>
    <xf numFmtId="0" fontId="0" fillId="7" borderId="7" xfId="0" applyFont="1" applyFill="1" applyBorder="1" applyAlignment="1" applyProtection="1">
      <alignment horizontal="center"/>
      <protection hidden="1"/>
    </xf>
    <xf numFmtId="0" fontId="3" fillId="2" borderId="9" xfId="2" applyFont="1" applyFill="1" applyBorder="1" applyAlignment="1" applyProtection="1">
      <alignment horizontal="right" vertical="center" wrapText="1"/>
      <protection hidden="1"/>
    </xf>
    <xf numFmtId="0" fontId="0" fillId="11" borderId="0" xfId="0" applyFont="1" applyFill="1" applyProtection="1">
      <protection locked="0"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0" fillId="7" borderId="0" xfId="0" applyFont="1" applyFill="1" applyBorder="1" applyAlignment="1" applyProtection="1">
      <protection hidden="1"/>
    </xf>
    <xf numFmtId="9" fontId="3" fillId="9" borderId="10" xfId="2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2" applyFont="1" applyFill="1" applyBorder="1" applyAlignment="1" applyProtection="1">
      <alignment horizontal="center" vertical="center"/>
      <protection hidden="1"/>
    </xf>
    <xf numFmtId="0" fontId="10" fillId="8" borderId="2" xfId="2" applyFont="1" applyFill="1" applyBorder="1" applyAlignment="1" applyProtection="1">
      <alignment horizontal="center" vertical="center"/>
      <protection hidden="1"/>
    </xf>
    <xf numFmtId="0" fontId="3" fillId="2" borderId="2" xfId="2" applyFont="1" applyFill="1" applyBorder="1" applyAlignment="1" applyProtection="1">
      <alignment horizontal="center" vertical="center" wrapText="1"/>
      <protection hidden="1"/>
    </xf>
    <xf numFmtId="0" fontId="10" fillId="2" borderId="2" xfId="2" applyFont="1" applyFill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2" borderId="9" xfId="2" applyFont="1" applyFill="1" applyBorder="1" applyAlignment="1" applyProtection="1">
      <alignment horizontal="right" vertical="center"/>
      <protection hidden="1"/>
    </xf>
    <xf numFmtId="0" fontId="3" fillId="2" borderId="3" xfId="2" applyFont="1" applyFill="1" applyBorder="1" applyAlignment="1" applyProtection="1">
      <alignment vertical="center" wrapText="1"/>
      <protection hidden="1"/>
    </xf>
    <xf numFmtId="166" fontId="3" fillId="0" borderId="2" xfId="2" applyNumberFormat="1" applyFont="1" applyFill="1" applyBorder="1" applyAlignment="1" applyProtection="1">
      <alignment horizontal="left" vertical="center"/>
      <protection locked="0"/>
    </xf>
    <xf numFmtId="0" fontId="0" fillId="2" borderId="9" xfId="2" applyFont="1" applyFill="1" applyBorder="1" applyAlignment="1" applyProtection="1">
      <alignment horizontal="right" vertical="center" wrapText="1"/>
      <protection hidden="1"/>
    </xf>
    <xf numFmtId="0" fontId="0" fillId="7" borderId="7" xfId="0" applyFont="1" applyFill="1" applyBorder="1" applyProtection="1">
      <protection hidden="1"/>
    </xf>
    <xf numFmtId="0" fontId="0" fillId="2" borderId="4" xfId="2" applyFont="1" applyFill="1" applyBorder="1" applyAlignment="1" applyProtection="1">
      <alignment horizontal="right" vertical="center" wrapText="1"/>
      <protection hidden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49" fontId="0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0" fillId="0" borderId="2" xfId="2" applyFont="1" applyFill="1" applyBorder="1" applyAlignment="1" applyProtection="1">
      <alignment horizontal="left" vertical="center"/>
      <protection locked="0"/>
    </xf>
    <xf numFmtId="166" fontId="3" fillId="2" borderId="2" xfId="2" applyNumberFormat="1" applyFont="1" applyFill="1" applyBorder="1" applyAlignment="1" applyProtection="1">
      <alignment horizontal="left" vertical="center"/>
      <protection hidden="1"/>
    </xf>
    <xf numFmtId="166" fontId="10" fillId="0" borderId="2" xfId="2" applyNumberFormat="1" applyFont="1" applyFill="1" applyBorder="1" applyAlignment="1" applyProtection="1">
      <alignment horizontal="left" vertical="center"/>
      <protection locked="0"/>
    </xf>
    <xf numFmtId="0" fontId="11" fillId="2" borderId="1" xfId="2" applyFont="1" applyFill="1" applyBorder="1" applyAlignment="1" applyProtection="1">
      <alignment horizontal="center" vertical="center"/>
      <protection hidden="1"/>
    </xf>
    <xf numFmtId="10" fontId="11" fillId="2" borderId="1" xfId="2" applyNumberFormat="1" applyFont="1" applyFill="1" applyBorder="1" applyAlignment="1" applyProtection="1">
      <alignment horizontal="center" vertical="center"/>
      <protection hidden="1"/>
    </xf>
    <xf numFmtId="164" fontId="11" fillId="2" borderId="1" xfId="2" applyNumberFormat="1" applyFont="1" applyFill="1" applyBorder="1" applyAlignment="1" applyProtection="1">
      <alignment horizontal="center" vertical="center"/>
      <protection hidden="1"/>
    </xf>
    <xf numFmtId="164" fontId="12" fillId="2" borderId="1" xfId="2" applyNumberFormat="1" applyFont="1" applyFill="1" applyBorder="1" applyAlignment="1" applyProtection="1">
      <alignment horizontal="center" vertical="center"/>
      <protection hidden="1"/>
    </xf>
    <xf numFmtId="0" fontId="0" fillId="7" borderId="9" xfId="2" applyFont="1" applyFill="1" applyBorder="1" applyAlignment="1" applyProtection="1">
      <alignment horizontal="right" vertical="center"/>
      <protection hidden="1"/>
    </xf>
    <xf numFmtId="0" fontId="3" fillId="7" borderId="1" xfId="2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 applyProtection="1">
      <protection hidden="1"/>
    </xf>
    <xf numFmtId="1" fontId="3" fillId="9" borderId="1" xfId="2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2" applyNumberFormat="1" applyFont="1" applyFill="1" applyBorder="1" applyAlignment="1" applyProtection="1">
      <alignment horizontal="left" vertical="center"/>
      <protection hidden="1"/>
    </xf>
    <xf numFmtId="1" fontId="7" fillId="8" borderId="2" xfId="2" applyNumberFormat="1" applyFont="1" applyFill="1" applyBorder="1" applyAlignment="1" applyProtection="1">
      <alignment horizontal="left" vertical="center"/>
      <protection hidden="1"/>
    </xf>
    <xf numFmtId="0" fontId="0" fillId="0" borderId="8" xfId="0" applyFont="1" applyBorder="1" applyProtection="1">
      <protection hidden="1"/>
    </xf>
    <xf numFmtId="10" fontId="11" fillId="0" borderId="2" xfId="2" applyNumberFormat="1" applyFont="1" applyFill="1" applyBorder="1" applyAlignment="1" applyProtection="1">
      <alignment horizontal="left" vertical="center"/>
      <protection locked="0"/>
    </xf>
    <xf numFmtId="166" fontId="11" fillId="0" borderId="2" xfId="2" applyNumberFormat="1" applyFont="1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center"/>
      <protection hidden="1"/>
    </xf>
    <xf numFmtId="166" fontId="12" fillId="0" borderId="2" xfId="2" applyNumberFormat="1" applyFont="1" applyFill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 applyProtection="1">
      <alignment horizontal="left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hidden="1"/>
    </xf>
    <xf numFmtId="0" fontId="3" fillId="2" borderId="5" xfId="2" applyFont="1" applyFill="1" applyBorder="1" applyAlignment="1" applyProtection="1">
      <alignment vertical="center" wrapText="1"/>
      <protection hidden="1"/>
    </xf>
    <xf numFmtId="0" fontId="3" fillId="2" borderId="8" xfId="2" applyFont="1" applyFill="1" applyBorder="1" applyAlignment="1" applyProtection="1">
      <alignment vertical="center" wrapText="1"/>
      <protection hidden="1"/>
    </xf>
    <xf numFmtId="0" fontId="3" fillId="2" borderId="3" xfId="2" applyFont="1" applyFill="1" applyBorder="1" applyAlignment="1" applyProtection="1">
      <alignment horizontal="center" vertical="center" wrapText="1"/>
      <protection hidden="1"/>
    </xf>
    <xf numFmtId="0" fontId="10" fillId="2" borderId="9" xfId="2" applyFont="1" applyFill="1" applyBorder="1" applyAlignment="1" applyProtection="1">
      <alignment horizontal="right" vertical="center" wrapText="1"/>
      <protection hidden="1"/>
    </xf>
    <xf numFmtId="0" fontId="7" fillId="8" borderId="9" xfId="2" applyFont="1" applyFill="1" applyBorder="1" applyAlignment="1" applyProtection="1">
      <alignment horizontal="right" vertical="center" wrapText="1"/>
      <protection hidden="1"/>
    </xf>
    <xf numFmtId="0" fontId="7" fillId="8" borderId="2" xfId="2" applyFont="1" applyFill="1" applyBorder="1" applyAlignment="1" applyProtection="1">
      <alignment horizontal="center" vertical="center" wrapText="1"/>
      <protection hidden="1"/>
    </xf>
    <xf numFmtId="166" fontId="0" fillId="7" borderId="2" xfId="2" applyNumberFormat="1" applyFont="1" applyFill="1" applyBorder="1" applyAlignment="1" applyProtection="1">
      <alignment horizontal="left" vertical="center"/>
      <protection hidden="1"/>
    </xf>
    <xf numFmtId="0" fontId="0" fillId="7" borderId="8" xfId="4" applyNumberFormat="1" applyFont="1" applyFill="1" applyBorder="1" applyAlignment="1" applyProtection="1">
      <protection hidden="1"/>
    </xf>
    <xf numFmtId="0" fontId="0" fillId="12" borderId="2" xfId="0" applyFont="1" applyFill="1" applyBorder="1" applyAlignment="1" applyProtection="1">
      <alignment horizontal="left" vertical="center"/>
      <protection locked="0"/>
    </xf>
    <xf numFmtId="0" fontId="3" fillId="2" borderId="3" xfId="2" applyFont="1" applyFill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165" fontId="3" fillId="9" borderId="10" xfId="4" applyNumberFormat="1" applyFont="1" applyFill="1" applyBorder="1" applyAlignment="1" applyProtection="1">
      <alignment horizontal="center" vertical="center"/>
      <protection locked="0"/>
    </xf>
    <xf numFmtId="9" fontId="3" fillId="9" borderId="10" xfId="4" applyFont="1" applyFill="1" applyBorder="1" applyAlignment="1" applyProtection="1">
      <alignment horizontal="center" vertical="center"/>
      <protection locked="0"/>
    </xf>
    <xf numFmtId="166" fontId="0" fillId="12" borderId="1" xfId="2" applyNumberFormat="1" applyFont="1" applyFill="1" applyBorder="1" applyAlignment="1" applyProtection="1">
      <alignment vertical="center"/>
      <protection locked="0"/>
    </xf>
    <xf numFmtId="166" fontId="3" fillId="0" borderId="10" xfId="2" applyNumberFormat="1" applyFont="1" applyFill="1" applyBorder="1" applyAlignment="1" applyProtection="1">
      <alignment horizontal="center" vertical="center"/>
      <protection locked="0"/>
    </xf>
    <xf numFmtId="0" fontId="0" fillId="13" borderId="7" xfId="0" applyFont="1" applyFill="1" applyBorder="1" applyProtection="1">
      <protection locked="0" hidden="1"/>
    </xf>
    <xf numFmtId="0" fontId="0" fillId="7" borderId="12" xfId="0" applyFont="1" applyFill="1" applyBorder="1" applyAlignment="1" applyProtection="1"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166" fontId="0" fillId="12" borderId="2" xfId="2" applyNumberFormat="1" applyFont="1" applyFill="1" applyBorder="1" applyAlignment="1" applyProtection="1">
      <alignment vertical="center"/>
      <protection locked="0"/>
    </xf>
    <xf numFmtId="165" fontId="10" fillId="8" borderId="9" xfId="2" applyNumberFormat="1" applyFont="1" applyFill="1" applyBorder="1" applyAlignment="1" applyProtection="1">
      <alignment horizontal="right" vertical="center"/>
      <protection hidden="1"/>
    </xf>
    <xf numFmtId="0" fontId="10" fillId="8" borderId="9" xfId="2" applyFont="1" applyFill="1" applyBorder="1" applyAlignment="1" applyProtection="1">
      <alignment horizontal="right" vertical="center" wrapText="1"/>
      <protection hidden="1"/>
    </xf>
    <xf numFmtId="165" fontId="10" fillId="2" borderId="9" xfId="2" applyNumberFormat="1" applyFont="1" applyFill="1" applyBorder="1" applyAlignment="1" applyProtection="1">
      <alignment horizontal="right" vertical="center"/>
      <protection hidden="1"/>
    </xf>
    <xf numFmtId="0" fontId="10" fillId="2" borderId="9" xfId="2" applyFont="1" applyFill="1" applyBorder="1" applyAlignment="1" applyProtection="1">
      <alignment horizontal="right" vertical="center"/>
      <protection hidden="1"/>
    </xf>
    <xf numFmtId="0" fontId="10" fillId="2" borderId="1" xfId="2" applyFont="1" applyFill="1" applyBorder="1" applyAlignment="1" applyProtection="1">
      <alignment horizontal="center" vertical="center"/>
      <protection hidden="1"/>
    </xf>
    <xf numFmtId="0" fontId="10" fillId="2" borderId="1" xfId="2" applyFont="1" applyFill="1" applyBorder="1" applyAlignment="1" applyProtection="1">
      <alignment horizontal="left" vertical="center"/>
      <protection hidden="1"/>
    </xf>
    <xf numFmtId="0" fontId="15" fillId="2" borderId="9" xfId="2" applyFont="1" applyFill="1" applyBorder="1" applyAlignment="1" applyProtection="1">
      <alignment vertical="center"/>
      <protection hidden="1"/>
    </xf>
    <xf numFmtId="0" fontId="15" fillId="2" borderId="1" xfId="2" applyFont="1" applyFill="1" applyBorder="1" applyAlignment="1" applyProtection="1">
      <alignment vertical="center"/>
      <protection hidden="1"/>
    </xf>
    <xf numFmtId="0" fontId="0" fillId="8" borderId="9" xfId="2" applyFont="1" applyFill="1" applyBorder="1" applyAlignment="1" applyProtection="1">
      <alignment horizontal="right" vertical="center" wrapText="1"/>
      <protection hidden="1"/>
    </xf>
    <xf numFmtId="165" fontId="3" fillId="8" borderId="1" xfId="4" applyNumberFormat="1" applyFont="1" applyFill="1" applyBorder="1" applyAlignment="1" applyProtection="1">
      <alignment horizontal="left" vertical="center" wrapText="1"/>
      <protection hidden="1"/>
    </xf>
    <xf numFmtId="0" fontId="8" fillId="8" borderId="9" xfId="2" applyFont="1" applyFill="1" applyBorder="1" applyAlignment="1" applyProtection="1">
      <alignment horizontal="right" vertical="center" wrapText="1"/>
      <protection hidden="1"/>
    </xf>
    <xf numFmtId="0" fontId="8" fillId="8" borderId="1" xfId="2" applyFont="1" applyFill="1" applyBorder="1" applyAlignment="1" applyProtection="1">
      <alignment vertical="center" wrapText="1"/>
      <protection hidden="1"/>
    </xf>
    <xf numFmtId="0" fontId="0" fillId="8" borderId="2" xfId="2" applyFont="1" applyFill="1" applyBorder="1" applyAlignment="1" applyProtection="1">
      <alignment vertical="center" wrapText="1"/>
      <protection hidden="1"/>
    </xf>
    <xf numFmtId="0" fontId="3" fillId="8" borderId="1" xfId="2" applyFont="1" applyFill="1" applyBorder="1" applyAlignment="1" applyProtection="1">
      <alignment horizontal="center" vertical="center" wrapText="1"/>
      <protection hidden="1"/>
    </xf>
    <xf numFmtId="0" fontId="6" fillId="8" borderId="7" xfId="0" applyFont="1" applyFill="1" applyBorder="1" applyAlignment="1" applyProtection="1">
      <alignment horizontal="right" vertical="center" wrapText="1"/>
      <protection hidden="1"/>
    </xf>
    <xf numFmtId="0" fontId="6" fillId="8" borderId="0" xfId="0" applyFont="1" applyFill="1" applyBorder="1" applyAlignment="1" applyProtection="1">
      <alignment horizontal="left" vertical="center"/>
      <protection hidden="1"/>
    </xf>
    <xf numFmtId="166" fontId="10" fillId="8" borderId="8" xfId="0" applyNumberFormat="1" applyFont="1" applyFill="1" applyBorder="1" applyAlignment="1" applyProtection="1">
      <alignment horizontal="left" wrapText="1"/>
    </xf>
    <xf numFmtId="0" fontId="6" fillId="8" borderId="9" xfId="2" applyFont="1" applyFill="1" applyBorder="1" applyAlignment="1" applyProtection="1">
      <alignment horizontal="right" vertical="center"/>
      <protection hidden="1"/>
    </xf>
    <xf numFmtId="0" fontId="3" fillId="8" borderId="1" xfId="2" applyFont="1" applyFill="1" applyBorder="1" applyAlignment="1" applyProtection="1">
      <alignment horizontal="left" vertical="center"/>
      <protection hidden="1"/>
    </xf>
    <xf numFmtId="0" fontId="0" fillId="8" borderId="9" xfId="2" quotePrefix="1" applyFont="1" applyFill="1" applyBorder="1" applyAlignment="1" applyProtection="1">
      <alignment horizontal="right" vertical="center"/>
      <protection hidden="1"/>
    </xf>
    <xf numFmtId="164" fontId="13" fillId="8" borderId="9" xfId="2" applyNumberFormat="1" applyFont="1" applyFill="1" applyBorder="1" applyAlignment="1" applyProtection="1">
      <alignment horizontal="right" vertical="center"/>
      <protection hidden="1"/>
    </xf>
    <xf numFmtId="164" fontId="13" fillId="8" borderId="1" xfId="2" applyNumberFormat="1" applyFont="1" applyFill="1" applyBorder="1" applyAlignment="1" applyProtection="1">
      <alignment horizontal="center" vertical="center"/>
      <protection hidden="1"/>
    </xf>
    <xf numFmtId="164" fontId="14" fillId="8" borderId="9" xfId="2" applyNumberFormat="1" applyFont="1" applyFill="1" applyBorder="1" applyAlignment="1" applyProtection="1">
      <alignment horizontal="right" vertical="center"/>
      <protection hidden="1"/>
    </xf>
    <xf numFmtId="164" fontId="14" fillId="8" borderId="1" xfId="2" applyNumberFormat="1" applyFont="1" applyFill="1" applyBorder="1" applyAlignment="1" applyProtection="1">
      <alignment horizontal="center" vertical="center"/>
      <protection hidden="1"/>
    </xf>
    <xf numFmtId="0" fontId="3" fillId="8" borderId="9" xfId="2" applyFont="1" applyFill="1" applyBorder="1" applyAlignment="1" applyProtection="1">
      <alignment horizontal="right" vertical="center" wrapText="1"/>
      <protection hidden="1"/>
    </xf>
    <xf numFmtId="0" fontId="10" fillId="8" borderId="1" xfId="2" applyFont="1" applyFill="1" applyBorder="1" applyAlignment="1" applyProtection="1">
      <alignment horizontal="center" vertical="center" wrapText="1"/>
      <protection hidden="1"/>
    </xf>
    <xf numFmtId="0" fontId="0" fillId="7" borderId="3" xfId="0" applyFont="1" applyFill="1" applyBorder="1" applyAlignment="1" applyProtection="1">
      <alignment horizontal="center"/>
      <protection hidden="1"/>
    </xf>
    <xf numFmtId="166" fontId="3" fillId="0" borderId="9" xfId="2" applyNumberFormat="1" applyFont="1" applyFill="1" applyBorder="1" applyAlignment="1" applyProtection="1">
      <alignment horizontal="center" vertical="center"/>
      <protection locked="0"/>
    </xf>
    <xf numFmtId="166" fontId="3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8" borderId="1" xfId="2" applyFont="1" applyFill="1" applyBorder="1" applyAlignment="1" applyProtection="1">
      <alignment horizontal="center" vertical="center"/>
      <protection hidden="1"/>
    </xf>
    <xf numFmtId="0" fontId="3" fillId="2" borderId="1" xfId="2" applyFont="1" applyFill="1" applyBorder="1" applyAlignment="1" applyProtection="1">
      <alignment horizontal="center" vertical="center" wrapText="1"/>
      <protection hidden="1"/>
    </xf>
    <xf numFmtId="166" fontId="3" fillId="8" borderId="10" xfId="2" applyNumberFormat="1" applyFont="1" applyFill="1" applyBorder="1" applyAlignment="1" applyProtection="1">
      <alignment vertical="center"/>
    </xf>
    <xf numFmtId="166" fontId="3" fillId="2" borderId="9" xfId="2" applyNumberFormat="1" applyFont="1" applyFill="1" applyBorder="1" applyAlignment="1" applyProtection="1">
      <alignment horizontal="center" vertical="center"/>
    </xf>
    <xf numFmtId="166" fontId="3" fillId="2" borderId="1" xfId="2" applyNumberFormat="1" applyFont="1" applyFill="1" applyBorder="1" applyAlignment="1" applyProtection="1">
      <alignment vertical="center"/>
    </xf>
    <xf numFmtId="166" fontId="0" fillId="2" borderId="1" xfId="2" applyNumberFormat="1" applyFont="1" applyFill="1" applyBorder="1" applyAlignment="1" applyProtection="1">
      <alignment vertical="center"/>
    </xf>
    <xf numFmtId="166" fontId="10" fillId="2" borderId="2" xfId="2" applyNumberFormat="1" applyFont="1" applyFill="1" applyBorder="1" applyAlignment="1" applyProtection="1">
      <alignment horizontal="left" vertical="center"/>
    </xf>
    <xf numFmtId="10" fontId="17" fillId="2" borderId="2" xfId="2" applyNumberFormat="1" applyFont="1" applyFill="1" applyBorder="1" applyAlignment="1" applyProtection="1">
      <alignment horizontal="left" vertical="center"/>
    </xf>
    <xf numFmtId="166" fontId="7" fillId="8" borderId="2" xfId="2" applyNumberFormat="1" applyFont="1" applyFill="1" applyBorder="1" applyAlignment="1" applyProtection="1">
      <alignment horizontal="left" vertical="center"/>
    </xf>
    <xf numFmtId="166" fontId="8" fillId="8" borderId="2" xfId="2" applyNumberFormat="1" applyFont="1" applyFill="1" applyBorder="1" applyAlignment="1" applyProtection="1">
      <alignment horizontal="left" vertical="center"/>
    </xf>
    <xf numFmtId="166" fontId="14" fillId="8" borderId="2" xfId="2" applyNumberFormat="1" applyFont="1" applyFill="1" applyBorder="1" applyAlignment="1" applyProtection="1">
      <alignment horizontal="left" vertical="center"/>
    </xf>
    <xf numFmtId="0" fontId="0" fillId="0" borderId="0" xfId="0" applyProtection="1">
      <protection hidden="1"/>
    </xf>
    <xf numFmtId="0" fontId="0" fillId="12" borderId="2" xfId="0" applyFont="1" applyFill="1" applyBorder="1" applyAlignment="1" applyProtection="1">
      <alignment horizontal="left" vertical="center"/>
      <protection locked="0" hidden="1"/>
    </xf>
    <xf numFmtId="0" fontId="0" fillId="12" borderId="2" xfId="0" applyFont="1" applyFill="1" applyBorder="1" applyAlignment="1" applyProtection="1">
      <alignment vertical="center"/>
      <protection locked="0" hidden="1"/>
    </xf>
    <xf numFmtId="166" fontId="0" fillId="13" borderId="7" xfId="2" applyNumberFormat="1" applyFont="1" applyFill="1" applyBorder="1" applyAlignment="1" applyProtection="1">
      <alignment vertical="center"/>
      <protection locked="0" hidden="1"/>
    </xf>
    <xf numFmtId="166" fontId="0" fillId="14" borderId="7" xfId="2" applyNumberFormat="1" applyFont="1" applyFill="1" applyBorder="1" applyAlignment="1" applyProtection="1">
      <alignment vertical="center"/>
      <protection locked="0" hidden="1"/>
    </xf>
    <xf numFmtId="0" fontId="3" fillId="12" borderId="9" xfId="2" applyFont="1" applyFill="1" applyBorder="1" applyAlignment="1" applyProtection="1">
      <alignment horizontal="right" vertical="center"/>
      <protection locked="0" hidden="1"/>
    </xf>
    <xf numFmtId="0" fontId="19" fillId="8" borderId="1" xfId="1" applyFont="1" applyFill="1" applyBorder="1" applyAlignment="1" applyProtection="1">
      <alignment horizontal="center" vertical="center"/>
      <protection hidden="1"/>
    </xf>
    <xf numFmtId="0" fontId="19" fillId="8" borderId="2" xfId="1" applyFont="1" applyFill="1" applyBorder="1" applyAlignment="1" applyProtection="1">
      <alignment horizontal="center" vertical="center"/>
      <protection hidden="1"/>
    </xf>
    <xf numFmtId="0" fontId="23" fillId="8" borderId="1" xfId="1" applyFont="1" applyFill="1" applyBorder="1" applyAlignment="1" applyProtection="1">
      <alignment horizontal="center" vertical="center"/>
    </xf>
    <xf numFmtId="166" fontId="7" fillId="8" borderId="9" xfId="2" applyNumberFormat="1" applyFont="1" applyFill="1" applyBorder="1" applyAlignment="1" applyProtection="1">
      <alignment horizontal="center" vertical="center"/>
    </xf>
    <xf numFmtId="166" fontId="7" fillId="8" borderId="2" xfId="2" applyNumberFormat="1" applyFont="1" applyFill="1" applyBorder="1" applyAlignment="1" applyProtection="1">
      <alignment horizontal="center" vertical="center"/>
    </xf>
    <xf numFmtId="166" fontId="7" fillId="2" borderId="9" xfId="2" applyNumberFormat="1" applyFont="1" applyFill="1" applyBorder="1" applyAlignment="1" applyProtection="1">
      <alignment horizontal="center" vertical="center"/>
    </xf>
    <xf numFmtId="166" fontId="7" fillId="2" borderId="2" xfId="2" applyNumberFormat="1" applyFont="1" applyFill="1" applyBorder="1" applyAlignment="1" applyProtection="1">
      <alignment horizontal="center" vertical="center"/>
    </xf>
    <xf numFmtId="0" fontId="12" fillId="2" borderId="9" xfId="2" applyFont="1" applyFill="1" applyBorder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center" vertical="center"/>
      <protection hidden="1"/>
    </xf>
    <xf numFmtId="0" fontId="12" fillId="2" borderId="2" xfId="2" applyFont="1" applyFill="1" applyBorder="1" applyAlignment="1" applyProtection="1">
      <alignment horizontal="center" vertical="center"/>
      <protection hidden="1"/>
    </xf>
    <xf numFmtId="166" fontId="9" fillId="2" borderId="9" xfId="2" applyNumberFormat="1" applyFont="1" applyFill="1" applyBorder="1" applyAlignment="1" applyProtection="1">
      <alignment horizontal="center" vertical="center"/>
    </xf>
    <xf numFmtId="166" fontId="9" fillId="2" borderId="2" xfId="2" applyNumberFormat="1" applyFont="1" applyFill="1" applyBorder="1" applyAlignment="1" applyProtection="1">
      <alignment horizontal="center" vertical="center"/>
    </xf>
    <xf numFmtId="166" fontId="13" fillId="2" borderId="9" xfId="2" applyNumberFormat="1" applyFont="1" applyFill="1" applyBorder="1" applyAlignment="1" applyProtection="1">
      <alignment horizontal="center" vertical="center"/>
    </xf>
    <xf numFmtId="166" fontId="13" fillId="2" borderId="1" xfId="2" applyNumberFormat="1" applyFont="1" applyFill="1" applyBorder="1" applyAlignment="1" applyProtection="1">
      <alignment horizontal="center" vertical="center"/>
    </xf>
    <xf numFmtId="166" fontId="13" fillId="2" borderId="2" xfId="2" applyNumberFormat="1" applyFont="1" applyFill="1" applyBorder="1" applyAlignment="1" applyProtection="1">
      <alignment horizontal="center" vertical="center"/>
    </xf>
    <xf numFmtId="0" fontId="16" fillId="10" borderId="9" xfId="2" applyFont="1" applyFill="1" applyBorder="1" applyAlignment="1" applyProtection="1">
      <alignment horizontal="center" vertical="center"/>
      <protection hidden="1"/>
    </xf>
    <xf numFmtId="0" fontId="16" fillId="10" borderId="1" xfId="2" applyFont="1" applyFill="1" applyBorder="1" applyAlignment="1" applyProtection="1">
      <alignment horizontal="center" vertical="center"/>
      <protection hidden="1"/>
    </xf>
    <xf numFmtId="0" fontId="16" fillId="10" borderId="2" xfId="2" applyFont="1" applyFill="1" applyBorder="1" applyAlignment="1" applyProtection="1">
      <alignment horizontal="center" vertical="center"/>
      <protection hidden="1"/>
    </xf>
    <xf numFmtId="0" fontId="15" fillId="10" borderId="9" xfId="2" applyFont="1" applyFill="1" applyBorder="1" applyAlignment="1" applyProtection="1">
      <alignment horizontal="center" vertical="center"/>
      <protection hidden="1"/>
    </xf>
    <xf numFmtId="0" fontId="15" fillId="10" borderId="1" xfId="2" applyFont="1" applyFill="1" applyBorder="1" applyAlignment="1" applyProtection="1">
      <alignment horizontal="center" vertical="center"/>
      <protection hidden="1"/>
    </xf>
    <xf numFmtId="0" fontId="15" fillId="10" borderId="2" xfId="2" applyFont="1" applyFill="1" applyBorder="1" applyAlignment="1" applyProtection="1">
      <alignment horizontal="center" vertical="center"/>
      <protection hidden="1"/>
    </xf>
    <xf numFmtId="0" fontId="15" fillId="10" borderId="10" xfId="2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right" vertical="center" wrapText="1"/>
      <protection hidden="1"/>
    </xf>
    <xf numFmtId="0" fontId="13" fillId="2" borderId="2" xfId="0" applyFont="1" applyFill="1" applyBorder="1" applyAlignment="1" applyProtection="1">
      <alignment horizontal="right" vertical="center" wrapText="1"/>
      <protection hidden="1"/>
    </xf>
    <xf numFmtId="0" fontId="15" fillId="10" borderId="9" xfId="2" applyFont="1" applyFill="1" applyBorder="1" applyAlignment="1" applyProtection="1">
      <alignment horizontal="right" vertical="center"/>
      <protection hidden="1"/>
    </xf>
    <xf numFmtId="0" fontId="15" fillId="10" borderId="1" xfId="2" applyFont="1" applyFill="1" applyBorder="1" applyAlignment="1" applyProtection="1">
      <alignment horizontal="right" vertical="center"/>
      <protection hidden="1"/>
    </xf>
    <xf numFmtId="166" fontId="10" fillId="0" borderId="9" xfId="2" applyNumberFormat="1" applyFont="1" applyFill="1" applyBorder="1" applyAlignment="1" applyProtection="1">
      <alignment horizontal="center" vertical="center"/>
      <protection locked="0"/>
    </xf>
    <xf numFmtId="166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2" fillId="2" borderId="10" xfId="2" applyFont="1" applyFill="1" applyBorder="1" applyAlignment="1" applyProtection="1">
      <alignment horizontal="center" vertical="center"/>
      <protection hidden="1"/>
    </xf>
    <xf numFmtId="166" fontId="10" fillId="0" borderId="10" xfId="2" applyNumberFormat="1" applyFont="1" applyFill="1" applyBorder="1" applyAlignment="1" applyProtection="1">
      <alignment horizontal="center" vertical="center"/>
      <protection locked="0"/>
    </xf>
    <xf numFmtId="166" fontId="3" fillId="0" borderId="9" xfId="2" applyNumberFormat="1" applyFont="1" applyFill="1" applyBorder="1" applyAlignment="1" applyProtection="1">
      <alignment horizontal="center" vertical="center"/>
      <protection locked="0"/>
    </xf>
    <xf numFmtId="166" fontId="3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right" vertical="center"/>
      <protection hidden="1"/>
    </xf>
    <xf numFmtId="2" fontId="13" fillId="2" borderId="9" xfId="0" applyNumberFormat="1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horizontal="center" vertical="center"/>
    </xf>
    <xf numFmtId="2" fontId="13" fillId="2" borderId="10" xfId="0" applyNumberFormat="1" applyFont="1" applyFill="1" applyBorder="1" applyAlignment="1" applyProtection="1">
      <alignment horizontal="center" vertical="center"/>
    </xf>
    <xf numFmtId="166" fontId="3" fillId="8" borderId="9" xfId="2" applyNumberFormat="1" applyFont="1" applyFill="1" applyBorder="1" applyAlignment="1" applyProtection="1">
      <alignment horizontal="center" vertical="center"/>
    </xf>
    <xf numFmtId="166" fontId="3" fillId="8" borderId="2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right" vertical="center" wrapText="1"/>
      <protection hidden="1"/>
    </xf>
    <xf numFmtId="0" fontId="3" fillId="2" borderId="7" xfId="2" applyFont="1" applyFill="1" applyBorder="1" applyAlignment="1" applyProtection="1">
      <alignment horizontal="right" vertical="center" wrapText="1"/>
      <protection hidden="1"/>
    </xf>
    <xf numFmtId="0" fontId="3" fillId="2" borderId="11" xfId="2" applyFont="1" applyFill="1" applyBorder="1" applyAlignment="1" applyProtection="1">
      <alignment horizontal="right" vertical="center" wrapText="1"/>
      <protection hidden="1"/>
    </xf>
    <xf numFmtId="164" fontId="0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2" applyNumberFormat="1" applyFont="1" applyFill="1" applyBorder="1" applyAlignment="1" applyProtection="1">
      <alignment horizontal="center" vertical="center"/>
      <protection locked="0"/>
    </xf>
    <xf numFmtId="2" fontId="15" fillId="10" borderId="9" xfId="4" applyNumberFormat="1" applyFont="1" applyFill="1" applyBorder="1" applyAlignment="1" applyProtection="1">
      <alignment horizontal="center" vertical="center"/>
    </xf>
    <xf numFmtId="2" fontId="15" fillId="10" borderId="2" xfId="4" applyNumberFormat="1" applyFont="1" applyFill="1" applyBorder="1" applyAlignment="1" applyProtection="1">
      <alignment horizontal="center" vertical="center"/>
    </xf>
    <xf numFmtId="0" fontId="12" fillId="8" borderId="9" xfId="2" applyFont="1" applyFill="1" applyBorder="1" applyAlignment="1" applyProtection="1">
      <alignment horizontal="center" vertical="center"/>
      <protection hidden="1"/>
    </xf>
    <xf numFmtId="0" fontId="12" fillId="8" borderId="1" xfId="2" applyFont="1" applyFill="1" applyBorder="1" applyAlignment="1" applyProtection="1">
      <alignment horizontal="center" vertical="center"/>
      <protection hidden="1"/>
    </xf>
    <xf numFmtId="0" fontId="12" fillId="8" borderId="2" xfId="2" applyFont="1" applyFill="1" applyBorder="1" applyAlignment="1" applyProtection="1">
      <alignment horizontal="center" vertical="center"/>
      <protection hidden="1"/>
    </xf>
    <xf numFmtId="2" fontId="13" fillId="2" borderId="4" xfId="0" applyNumberFormat="1" applyFont="1" applyFill="1" applyBorder="1" applyAlignment="1" applyProtection="1">
      <alignment horizontal="center" vertical="center"/>
    </xf>
    <xf numFmtId="2" fontId="13" fillId="2" borderId="5" xfId="0" applyNumberFormat="1" applyFont="1" applyFill="1" applyBorder="1" applyAlignment="1" applyProtection="1">
      <alignment horizontal="center" vertical="center"/>
    </xf>
    <xf numFmtId="166" fontId="9" fillId="8" borderId="9" xfId="2" applyNumberFormat="1" applyFont="1" applyFill="1" applyBorder="1" applyAlignment="1" applyProtection="1">
      <alignment horizontal="center" vertical="center"/>
    </xf>
    <xf numFmtId="166" fontId="9" fillId="8" borderId="2" xfId="2" applyNumberFormat="1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right" vertical="center" wrapText="1"/>
      <protection hidden="1"/>
    </xf>
    <xf numFmtId="0" fontId="0" fillId="2" borderId="7" xfId="0" applyFont="1" applyFill="1" applyBorder="1" applyAlignment="1" applyProtection="1">
      <alignment horizontal="right" vertical="center" wrapText="1"/>
      <protection hidden="1"/>
    </xf>
    <xf numFmtId="0" fontId="0" fillId="2" borderId="11" xfId="0" applyFont="1" applyFill="1" applyBorder="1" applyAlignment="1" applyProtection="1">
      <alignment horizontal="right" vertical="center" wrapText="1"/>
      <protection hidden="1"/>
    </xf>
    <xf numFmtId="2" fontId="14" fillId="8" borderId="4" xfId="0" applyNumberFormat="1" applyFont="1" applyFill="1" applyBorder="1" applyAlignment="1" applyProtection="1">
      <alignment horizontal="center" vertical="center"/>
    </xf>
    <xf numFmtId="2" fontId="14" fillId="8" borderId="5" xfId="0" applyNumberFormat="1" applyFont="1" applyFill="1" applyBorder="1" applyAlignment="1" applyProtection="1">
      <alignment horizontal="center" vertical="center"/>
    </xf>
    <xf numFmtId="2" fontId="14" fillId="8" borderId="9" xfId="0" applyNumberFormat="1" applyFont="1" applyFill="1" applyBorder="1" applyAlignment="1" applyProtection="1">
      <alignment horizontal="center" vertical="center"/>
    </xf>
    <xf numFmtId="2" fontId="14" fillId="8" borderId="2" xfId="0" applyNumberFormat="1" applyFont="1" applyFill="1" applyBorder="1" applyAlignment="1" applyProtection="1">
      <alignment horizontal="center" vertical="center"/>
    </xf>
    <xf numFmtId="0" fontId="22" fillId="8" borderId="1" xfId="2" applyFont="1" applyFill="1" applyBorder="1" applyAlignment="1" applyProtection="1">
      <alignment horizontal="center" vertical="center"/>
      <protection hidden="1"/>
    </xf>
    <xf numFmtId="0" fontId="0" fillId="2" borderId="9" xfId="2" quotePrefix="1" applyFont="1" applyFill="1" applyBorder="1" applyAlignment="1" applyProtection="1">
      <alignment horizontal="left" vertical="center" wrapText="1"/>
      <protection hidden="1"/>
    </xf>
    <xf numFmtId="0" fontId="0" fillId="2" borderId="1" xfId="2" quotePrefix="1" applyFont="1" applyFill="1" applyBorder="1" applyAlignment="1" applyProtection="1">
      <alignment horizontal="left" vertical="center" wrapText="1"/>
      <protection hidden="1"/>
    </xf>
    <xf numFmtId="166" fontId="3" fillId="2" borderId="9" xfId="2" applyNumberFormat="1" applyFont="1" applyFill="1" applyBorder="1" applyAlignment="1" applyProtection="1">
      <alignment horizontal="center" vertical="center"/>
    </xf>
    <xf numFmtId="166" fontId="3" fillId="2" borderId="2" xfId="2" applyNumberFormat="1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right" vertical="center" wrapText="1"/>
      <protection hidden="1"/>
    </xf>
    <xf numFmtId="0" fontId="14" fillId="8" borderId="2" xfId="0" applyFont="1" applyFill="1" applyBorder="1" applyAlignment="1" applyProtection="1">
      <alignment horizontal="right" vertical="center" wrapText="1"/>
      <protection hidden="1"/>
    </xf>
    <xf numFmtId="166" fontId="3" fillId="2" borderId="10" xfId="2" applyNumberFormat="1" applyFont="1" applyFill="1" applyBorder="1" applyAlignment="1" applyProtection="1">
      <alignment horizontal="center" vertical="center"/>
    </xf>
    <xf numFmtId="166" fontId="13" fillId="8" borderId="9" xfId="2" applyNumberFormat="1" applyFont="1" applyFill="1" applyBorder="1" applyAlignment="1" applyProtection="1">
      <alignment horizontal="center" vertical="center"/>
    </xf>
    <xf numFmtId="166" fontId="13" fillId="8" borderId="2" xfId="2" applyNumberFormat="1" applyFont="1" applyFill="1" applyBorder="1" applyAlignment="1" applyProtection="1">
      <alignment horizontal="center" vertical="center"/>
    </xf>
    <xf numFmtId="166" fontId="13" fillId="8" borderId="10" xfId="2" applyNumberFormat="1" applyFont="1" applyFill="1" applyBorder="1" applyAlignment="1" applyProtection="1">
      <alignment horizontal="center" vertical="center"/>
    </xf>
    <xf numFmtId="2" fontId="15" fillId="10" borderId="10" xfId="4" applyNumberFormat="1" applyFont="1" applyFill="1" applyBorder="1" applyAlignment="1" applyProtection="1">
      <alignment horizontal="center" vertical="center"/>
    </xf>
    <xf numFmtId="166" fontId="0" fillId="8" borderId="10" xfId="2" applyNumberFormat="1" applyFont="1" applyFill="1" applyBorder="1" applyAlignment="1" applyProtection="1">
      <alignment horizontal="center" vertical="center" wrapText="1"/>
      <protection hidden="1"/>
    </xf>
    <xf numFmtId="166" fontId="8" fillId="8" borderId="10" xfId="0" applyNumberFormat="1" applyFont="1" applyFill="1" applyBorder="1" applyAlignment="1" applyProtection="1">
      <alignment horizontal="right"/>
    </xf>
    <xf numFmtId="0" fontId="0" fillId="2" borderId="9" xfId="2" applyFont="1" applyFill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13" xfId="0" applyFont="1" applyFill="1" applyBorder="1" applyAlignment="1" applyProtection="1">
      <alignment horizontal="center" vertical="center" wrapText="1"/>
      <protection hidden="1"/>
    </xf>
  </cellXfs>
  <cellStyles count="5">
    <cellStyle name="Hiperłącze" xfId="1" builtinId="8"/>
    <cellStyle name="Normalny" xfId="0" builtinId="0"/>
    <cellStyle name="Normalny 2" xfId="2" xr:uid="{00000000-0005-0000-0000-000003000000}"/>
    <cellStyle name="Normalny 3" xfId="3" xr:uid="{00000000-0005-0000-0000-000004000000}"/>
    <cellStyle name="Procentowy" xfId="4" builtinId="5"/>
  </cellStyles>
  <dxfs count="0"/>
  <tableStyles count="0" defaultTableStyle="TableStyleMedium2" defaultPivotStyle="PivotStyleLight16"/>
  <colors>
    <mruColors>
      <color rgb="FFCCF04A"/>
      <color rgb="FFE0F68E"/>
      <color rgb="FFEBF9B9"/>
      <color rgb="FF6C870B"/>
      <color rgb="FF82A20E"/>
      <color rgb="FFA8D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ontakt@edukacjainwestowania.pl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A13" zoomScale="90" zoomScaleNormal="90" workbookViewId="0">
      <selection activeCell="H18" sqref="H18:I18"/>
    </sheetView>
  </sheetViews>
  <sheetFormatPr defaultColWidth="0" defaultRowHeight="15" zeroHeight="1"/>
  <cols>
    <col min="1" max="1" width="1.7109375" style="1" customWidth="1"/>
    <col min="2" max="2" width="36.140625" style="2" customWidth="1"/>
    <col min="3" max="3" width="2.85546875" style="4" customWidth="1"/>
    <col min="4" max="4" width="50.7109375" style="3" customWidth="1"/>
    <col min="5" max="5" width="3.140625" style="1" customWidth="1"/>
    <col min="6" max="6" width="40" style="1" customWidth="1"/>
    <col min="7" max="7" width="6.28515625" style="1" customWidth="1"/>
    <col min="8" max="8" width="15.7109375" style="1" customWidth="1"/>
    <col min="9" max="9" width="12.85546875" style="1" customWidth="1"/>
    <col min="10" max="10" width="16.42578125" style="1" customWidth="1"/>
    <col min="11" max="11" width="12.140625" style="1" customWidth="1"/>
    <col min="12" max="12" width="3.140625" style="73" customWidth="1"/>
    <col min="13" max="13" width="37.7109375" style="6" hidden="1" customWidth="1"/>
    <col min="14" max="16384" width="9.140625" style="139" hidden="1"/>
  </cols>
  <sheetData>
    <row r="1" spans="1:13" ht="26.25">
      <c r="A1" s="160" t="s">
        <v>107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3" ht="9" customHeight="1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</row>
    <row r="3" spans="1:13" ht="18" customHeight="1">
      <c r="A3" s="17"/>
      <c r="B3" s="163" t="s">
        <v>42</v>
      </c>
      <c r="C3" s="164"/>
      <c r="D3" s="165"/>
      <c r="E3" s="41"/>
      <c r="F3" s="166" t="s">
        <v>73</v>
      </c>
      <c r="G3" s="166"/>
      <c r="H3" s="166"/>
      <c r="I3" s="166"/>
      <c r="J3" s="166"/>
      <c r="K3" s="166"/>
      <c r="L3" s="19"/>
      <c r="M3" s="11" t="s">
        <v>36</v>
      </c>
    </row>
    <row r="4" spans="1:13" ht="18" customHeight="1">
      <c r="A4" s="17"/>
      <c r="B4" s="22" t="s">
        <v>3</v>
      </c>
      <c r="C4" s="23"/>
      <c r="D4" s="55" t="s">
        <v>108</v>
      </c>
      <c r="E4" s="41"/>
      <c r="F4" s="54"/>
      <c r="G4" s="82"/>
      <c r="H4" s="97" t="s">
        <v>77</v>
      </c>
      <c r="I4" s="227" t="s">
        <v>78</v>
      </c>
      <c r="J4" s="228"/>
      <c r="K4" s="223" t="s">
        <v>53</v>
      </c>
      <c r="L4" s="19"/>
      <c r="M4" s="11" t="s">
        <v>37</v>
      </c>
    </row>
    <row r="5" spans="1:13" ht="18" customHeight="1">
      <c r="A5" s="17"/>
      <c r="B5" s="22" t="s">
        <v>7</v>
      </c>
      <c r="C5" s="23"/>
      <c r="D5" s="88" t="s">
        <v>23</v>
      </c>
      <c r="E5" s="41"/>
      <c r="F5" s="225" t="s">
        <v>96</v>
      </c>
      <c r="G5" s="226"/>
      <c r="H5" s="94">
        <f>128.92+77.05</f>
        <v>205.96999999999997</v>
      </c>
      <c r="I5" s="229"/>
      <c r="J5" s="230"/>
      <c r="K5" s="223"/>
      <c r="L5" s="21"/>
      <c r="M5" s="7" t="s">
        <v>23</v>
      </c>
    </row>
    <row r="6" spans="1:13" ht="18" customHeight="1">
      <c r="A6" s="17"/>
      <c r="B6" s="24" t="s">
        <v>1</v>
      </c>
      <c r="C6" s="25"/>
      <c r="D6" s="56" t="s">
        <v>109</v>
      </c>
      <c r="E6" s="41"/>
      <c r="F6" s="212" t="s">
        <v>57</v>
      </c>
      <c r="G6" s="213"/>
      <c r="H6" s="94">
        <v>11.8</v>
      </c>
      <c r="I6" s="127">
        <v>250</v>
      </c>
      <c r="J6" s="93" t="s">
        <v>55</v>
      </c>
      <c r="K6" s="130">
        <f>IF(J6=$M$26,0,I6)</f>
        <v>250</v>
      </c>
      <c r="L6" s="21"/>
      <c r="M6" s="11" t="s">
        <v>12</v>
      </c>
    </row>
    <row r="7" spans="1:13" ht="18" customHeight="1">
      <c r="A7" s="17"/>
      <c r="B7" s="49" t="s">
        <v>67</v>
      </c>
      <c r="C7" s="25"/>
      <c r="D7" s="88" t="s">
        <v>29</v>
      </c>
      <c r="E7" s="41"/>
      <c r="F7" s="212" t="s">
        <v>58</v>
      </c>
      <c r="G7" s="213"/>
      <c r="H7" s="94">
        <v>0</v>
      </c>
      <c r="I7" s="127">
        <v>0</v>
      </c>
      <c r="J7" s="93" t="str">
        <f>J6</f>
        <v>płaci właściciel</v>
      </c>
      <c r="K7" s="130">
        <f>IF(J7=$M$26,0,I7)</f>
        <v>0</v>
      </c>
      <c r="L7" s="21"/>
      <c r="M7" s="7">
        <f>IF(D5=M6,3,IF(D5=M5,2,1))</f>
        <v>2</v>
      </c>
    </row>
    <row r="8" spans="1:13" ht="18" customHeight="1">
      <c r="A8" s="17"/>
      <c r="B8" s="36" t="s">
        <v>0</v>
      </c>
      <c r="C8" s="25"/>
      <c r="D8" s="55">
        <v>77</v>
      </c>
      <c r="E8" s="41"/>
      <c r="F8" s="212" t="s">
        <v>59</v>
      </c>
      <c r="G8" s="213"/>
      <c r="H8" s="94">
        <v>0</v>
      </c>
      <c r="I8" s="127">
        <f>D15*14</f>
        <v>84</v>
      </c>
      <c r="J8" s="93" t="str">
        <f>J6</f>
        <v>płaci właściciel</v>
      </c>
      <c r="K8" s="130">
        <f>IF(J8=$M$26,0,I8)</f>
        <v>84</v>
      </c>
      <c r="L8" s="21"/>
      <c r="M8" s="16" t="s">
        <v>9</v>
      </c>
    </row>
    <row r="9" spans="1:13" ht="18" customHeight="1">
      <c r="A9" s="17"/>
      <c r="B9" s="54" t="s">
        <v>68</v>
      </c>
      <c r="C9" s="79"/>
      <c r="D9" s="140" t="str">
        <f>IF(M11=3,M29,M30)</f>
        <v>własność</v>
      </c>
      <c r="E9" s="41"/>
      <c r="F9" s="212" t="s">
        <v>91</v>
      </c>
      <c r="G9" s="213"/>
      <c r="H9" s="94">
        <v>0</v>
      </c>
      <c r="I9" s="127">
        <v>0</v>
      </c>
      <c r="J9" s="93" t="str">
        <f>J6</f>
        <v>płaci właściciel</v>
      </c>
      <c r="K9" s="130">
        <f>IF(J9=$M$26,0,I9)</f>
        <v>0</v>
      </c>
      <c r="L9" s="21"/>
      <c r="M9" s="16" t="s">
        <v>10</v>
      </c>
    </row>
    <row r="10" spans="1:13" ht="18" customHeight="1">
      <c r="A10" s="17"/>
      <c r="B10" s="54" t="s">
        <v>69</v>
      </c>
      <c r="C10" s="89"/>
      <c r="D10" s="141" t="str">
        <f>IF(M11&gt;1,M24,M22)</f>
        <v>nie dotyczy</v>
      </c>
      <c r="E10" s="41"/>
      <c r="F10" s="212" t="s">
        <v>86</v>
      </c>
      <c r="G10" s="213"/>
      <c r="H10" s="131">
        <f>H5-SUM(H6:H9)</f>
        <v>194.16999999999996</v>
      </c>
      <c r="I10" s="132"/>
      <c r="J10" s="133"/>
      <c r="K10" s="130">
        <f>H10</f>
        <v>194.16999999999996</v>
      </c>
      <c r="L10" s="21"/>
      <c r="M10" s="16" t="s">
        <v>29</v>
      </c>
    </row>
    <row r="11" spans="1:13" ht="18" customHeight="1">
      <c r="A11" s="17"/>
      <c r="B11" s="49" t="s">
        <v>101</v>
      </c>
      <c r="C11" s="25"/>
      <c r="D11" s="57">
        <v>3</v>
      </c>
      <c r="E11" s="41"/>
      <c r="F11" s="107" t="s">
        <v>87</v>
      </c>
      <c r="G11" s="111"/>
      <c r="H11" s="94"/>
      <c r="I11" s="126">
        <v>0</v>
      </c>
      <c r="J11" s="98" t="str">
        <f>J6</f>
        <v>płaci właściciel</v>
      </c>
      <c r="K11" s="130">
        <f>IF(J11=$M$26,0,I11)</f>
        <v>0</v>
      </c>
      <c r="L11" s="21"/>
      <c r="M11" s="16">
        <f>IF(D7=M10,3,1)</f>
        <v>3</v>
      </c>
    </row>
    <row r="12" spans="1:13" ht="18" customHeight="1">
      <c r="A12" s="18"/>
      <c r="B12" s="49" t="s">
        <v>102</v>
      </c>
      <c r="C12" s="25"/>
      <c r="D12" s="58" t="s">
        <v>110</v>
      </c>
      <c r="E12" s="41"/>
      <c r="F12" s="107" t="s">
        <v>56</v>
      </c>
      <c r="G12" s="112"/>
      <c r="H12" s="94"/>
      <c r="I12" s="126">
        <f>((5*480*8*30*7/1000)*0.51/12)+((2*600*8*30*7/1000)*0.51/12)+150</f>
        <v>407.04</v>
      </c>
      <c r="J12" s="98" t="str">
        <f>J6</f>
        <v>płaci właściciel</v>
      </c>
      <c r="K12" s="130">
        <f>IF(J12=$M$26,0,I12)</f>
        <v>407.04</v>
      </c>
      <c r="L12" s="21"/>
      <c r="M12" s="8" t="s">
        <v>11</v>
      </c>
    </row>
    <row r="13" spans="1:13" ht="18" customHeight="1">
      <c r="A13" s="17"/>
      <c r="B13" s="65" t="s">
        <v>39</v>
      </c>
      <c r="C13" s="66"/>
      <c r="D13" s="57">
        <v>6</v>
      </c>
      <c r="E13" s="41"/>
      <c r="F13" s="107" t="s">
        <v>44</v>
      </c>
      <c r="G13" s="112"/>
      <c r="H13" s="94"/>
      <c r="I13" s="126">
        <v>65</v>
      </c>
      <c r="J13" s="98" t="s">
        <v>55</v>
      </c>
      <c r="K13" s="130">
        <f>IF(J13=$M$26,0,I13)</f>
        <v>65</v>
      </c>
      <c r="L13" s="21"/>
      <c r="M13" s="8" t="s">
        <v>84</v>
      </c>
    </row>
    <row r="14" spans="1:13" ht="18" customHeight="1">
      <c r="A14" s="17"/>
      <c r="B14" s="65" t="s">
        <v>40</v>
      </c>
      <c r="C14" s="66"/>
      <c r="D14" s="58" t="s">
        <v>111</v>
      </c>
      <c r="E14" s="41"/>
      <c r="F14" s="109" t="s">
        <v>54</v>
      </c>
      <c r="G14" s="110"/>
      <c r="H14" s="224">
        <f>SUM(K6:K13)</f>
        <v>1000.21</v>
      </c>
      <c r="I14" s="224"/>
      <c r="J14" s="224"/>
      <c r="K14" s="224"/>
      <c r="L14" s="21"/>
      <c r="M14" s="8" t="s">
        <v>85</v>
      </c>
    </row>
    <row r="15" spans="1:13" ht="18" customHeight="1">
      <c r="A15" s="17"/>
      <c r="B15" s="65" t="s">
        <v>63</v>
      </c>
      <c r="C15" s="66"/>
      <c r="D15" s="58">
        <v>6</v>
      </c>
      <c r="E15" s="41"/>
      <c r="F15" s="12"/>
      <c r="G15" s="12"/>
      <c r="H15" s="12"/>
      <c r="I15" s="12"/>
      <c r="J15" s="12"/>
      <c r="K15" s="12"/>
      <c r="L15" s="21"/>
      <c r="M15" s="8" t="s">
        <v>35</v>
      </c>
    </row>
    <row r="16" spans="1:13" ht="18" customHeight="1">
      <c r="A16" s="17"/>
      <c r="B16" s="24" t="s">
        <v>30</v>
      </c>
      <c r="C16" s="25"/>
      <c r="D16" s="88" t="s">
        <v>35</v>
      </c>
      <c r="E16" s="41"/>
      <c r="F16" s="163" t="s">
        <v>74</v>
      </c>
      <c r="G16" s="164"/>
      <c r="H16" s="164"/>
      <c r="I16" s="164"/>
      <c r="J16" s="164"/>
      <c r="K16" s="165"/>
      <c r="L16" s="34"/>
      <c r="M16" s="8">
        <v>1</v>
      </c>
    </row>
    <row r="17" spans="1:14" ht="18" customHeight="1">
      <c r="A17" s="17"/>
      <c r="B17" s="204" t="s">
        <v>26</v>
      </c>
      <c r="C17" s="38"/>
      <c r="D17" s="90" t="s">
        <v>103</v>
      </c>
      <c r="E17" s="41"/>
      <c r="F17" s="105"/>
      <c r="G17" s="106"/>
      <c r="H17" s="152" t="s">
        <v>52</v>
      </c>
      <c r="I17" s="154"/>
      <c r="J17" s="175" t="s">
        <v>50</v>
      </c>
      <c r="K17" s="175"/>
      <c r="L17" s="21"/>
      <c r="M17" s="9" t="s">
        <v>88</v>
      </c>
    </row>
    <row r="18" spans="1:14" ht="18" customHeight="1">
      <c r="A18" s="17"/>
      <c r="B18" s="205"/>
      <c r="C18" s="39"/>
      <c r="D18" s="167" t="s">
        <v>46</v>
      </c>
      <c r="E18" s="18"/>
      <c r="F18" s="83" t="s">
        <v>61</v>
      </c>
      <c r="G18" s="68"/>
      <c r="H18" s="173">
        <f>525+600+800+700+750</f>
        <v>3375</v>
      </c>
      <c r="I18" s="174"/>
      <c r="J18" s="176">
        <f>600+600+840+700+700+840</f>
        <v>4280</v>
      </c>
      <c r="K18" s="176"/>
      <c r="L18" s="21"/>
      <c r="M18" s="10">
        <f>ABS(IPMT(D44/12,1,D41*12,D46)+IPMT(D44/12,12,D41*12,D46))/2</f>
        <v>1610.0418727034119</v>
      </c>
    </row>
    <row r="19" spans="1:14" ht="18" customHeight="1">
      <c r="A19" s="17"/>
      <c r="B19" s="205"/>
      <c r="C19" s="39"/>
      <c r="D19" s="168"/>
      <c r="E19" s="18"/>
      <c r="F19" s="123" t="s">
        <v>64</v>
      </c>
      <c r="G19" s="124"/>
      <c r="H19" s="177">
        <f>150*M28</f>
        <v>150</v>
      </c>
      <c r="I19" s="178"/>
      <c r="J19" s="177">
        <f>H19</f>
        <v>150</v>
      </c>
      <c r="K19" s="178"/>
      <c r="L19" s="87"/>
      <c r="M19" s="11" t="s">
        <v>25</v>
      </c>
    </row>
    <row r="20" spans="1:14" ht="18" customHeight="1">
      <c r="A20" s="18"/>
      <c r="B20" s="205"/>
      <c r="C20" s="39"/>
      <c r="D20" s="67" t="s">
        <v>104</v>
      </c>
      <c r="E20" s="18"/>
      <c r="F20" s="84" t="s">
        <v>62</v>
      </c>
      <c r="G20" s="124"/>
      <c r="H20" s="183">
        <f>H19*D13</f>
        <v>900</v>
      </c>
      <c r="I20" s="184"/>
      <c r="J20" s="183">
        <f>J19*D13</f>
        <v>900</v>
      </c>
      <c r="K20" s="184"/>
      <c r="L20" s="21"/>
      <c r="M20" s="11" t="s">
        <v>24</v>
      </c>
    </row>
    <row r="21" spans="1:14" ht="18" customHeight="1">
      <c r="A21" s="18"/>
      <c r="B21" s="205"/>
      <c r="C21" s="39"/>
      <c r="D21" s="167" t="s">
        <v>112</v>
      </c>
      <c r="E21" s="18"/>
      <c r="F21" s="52" t="s">
        <v>94</v>
      </c>
      <c r="G21" s="42">
        <v>0.16</v>
      </c>
      <c r="H21" s="214">
        <f>(H18+H20)*G21</f>
        <v>684</v>
      </c>
      <c r="I21" s="215"/>
      <c r="J21" s="218">
        <f>(J18+J20)*G21</f>
        <v>828.80000000000007</v>
      </c>
      <c r="K21" s="218"/>
      <c r="L21" s="21"/>
      <c r="M21" s="11">
        <f>IF(B30=M19,1,2)</f>
        <v>1</v>
      </c>
    </row>
    <row r="22" spans="1:14" ht="18" customHeight="1">
      <c r="A22" s="17"/>
      <c r="B22" s="205"/>
      <c r="C22" s="39"/>
      <c r="D22" s="167"/>
      <c r="E22" s="41"/>
      <c r="F22" s="52" t="s">
        <v>93</v>
      </c>
      <c r="G22" s="42">
        <v>0</v>
      </c>
      <c r="H22" s="214">
        <f>H18*G22</f>
        <v>0</v>
      </c>
      <c r="I22" s="215"/>
      <c r="J22" s="214">
        <f>J18*G22</f>
        <v>0</v>
      </c>
      <c r="K22" s="215"/>
      <c r="L22" s="21"/>
      <c r="M22" s="37" t="s">
        <v>70</v>
      </c>
    </row>
    <row r="23" spans="1:14" ht="18" customHeight="1">
      <c r="A23" s="18"/>
      <c r="B23" s="205"/>
      <c r="C23" s="39"/>
      <c r="D23" s="167"/>
      <c r="E23" s="19"/>
      <c r="F23" s="107" t="s">
        <v>95</v>
      </c>
      <c r="G23" s="108">
        <f>(G21*12+G22)/12</f>
        <v>0.16</v>
      </c>
      <c r="H23" s="183">
        <f>(H18+H20)*$G$23</f>
        <v>684</v>
      </c>
      <c r="I23" s="184"/>
      <c r="J23" s="183">
        <f>(J18+J20)*$G$23</f>
        <v>828.80000000000007</v>
      </c>
      <c r="K23" s="184"/>
      <c r="L23" s="21"/>
      <c r="M23" s="37" t="s">
        <v>71</v>
      </c>
    </row>
    <row r="24" spans="1:14" ht="18" customHeight="1">
      <c r="A24" s="17"/>
      <c r="B24" s="206"/>
      <c r="C24" s="40"/>
      <c r="D24" s="168"/>
      <c r="E24" s="17"/>
      <c r="F24" s="54" t="s">
        <v>49</v>
      </c>
      <c r="G24" s="50"/>
      <c r="H24" s="177">
        <v>200</v>
      </c>
      <c r="I24" s="194"/>
      <c r="J24" s="194"/>
      <c r="K24" s="178"/>
      <c r="L24" s="21"/>
      <c r="M24" s="37" t="s">
        <v>38</v>
      </c>
    </row>
    <row r="25" spans="1:14" ht="18" customHeight="1">
      <c r="A25" s="18"/>
      <c r="B25" s="22" t="s">
        <v>92</v>
      </c>
      <c r="C25" s="5"/>
      <c r="D25" s="59">
        <f>D28/D8</f>
        <v>7636.363636363636</v>
      </c>
      <c r="E25" s="41"/>
      <c r="F25" s="185" t="s">
        <v>6</v>
      </c>
      <c r="G25" s="80"/>
      <c r="H25" s="188" t="s">
        <v>113</v>
      </c>
      <c r="I25" s="189"/>
      <c r="J25" s="188" t="s">
        <v>114</v>
      </c>
      <c r="K25" s="189"/>
      <c r="L25" s="21"/>
      <c r="M25" s="37">
        <v>1</v>
      </c>
    </row>
    <row r="26" spans="1:14" ht="18" customHeight="1">
      <c r="A26" s="18"/>
      <c r="B26" s="76"/>
      <c r="C26" s="76"/>
      <c r="D26" s="76"/>
      <c r="E26" s="19"/>
      <c r="F26" s="186"/>
      <c r="G26" s="81"/>
      <c r="H26" s="190"/>
      <c r="I26" s="191"/>
      <c r="J26" s="190"/>
      <c r="K26" s="191"/>
      <c r="L26" s="20"/>
      <c r="M26" s="142" t="s">
        <v>60</v>
      </c>
    </row>
    <row r="27" spans="1:14" ht="18" customHeight="1">
      <c r="A27" s="17"/>
      <c r="B27" s="163" t="s">
        <v>43</v>
      </c>
      <c r="C27" s="164"/>
      <c r="D27" s="165"/>
      <c r="E27" s="19"/>
      <c r="F27" s="186"/>
      <c r="G27" s="81"/>
      <c r="H27" s="190"/>
      <c r="I27" s="191"/>
      <c r="J27" s="190"/>
      <c r="K27" s="191"/>
      <c r="L27" s="20"/>
      <c r="M27" s="142" t="s">
        <v>55</v>
      </c>
    </row>
    <row r="28" spans="1:14" ht="18" customHeight="1">
      <c r="A28" s="17"/>
      <c r="B28" s="102" t="s">
        <v>65</v>
      </c>
      <c r="C28" s="103"/>
      <c r="D28" s="60">
        <v>588000</v>
      </c>
      <c r="E28" s="18"/>
      <c r="F28" s="186"/>
      <c r="G28" s="81"/>
      <c r="H28" s="190"/>
      <c r="I28" s="191"/>
      <c r="J28" s="190"/>
      <c r="K28" s="191"/>
      <c r="L28" s="20"/>
      <c r="M28" s="95">
        <f>IF(J6=M26,0,1)</f>
        <v>1</v>
      </c>
    </row>
    <row r="29" spans="1:14" ht="18" customHeight="1">
      <c r="A29" s="17"/>
      <c r="B29" s="118" t="s">
        <v>66</v>
      </c>
      <c r="C29" s="128"/>
      <c r="D29" s="60">
        <f>IF(M11=3,D28*3%,"nie dotyczy")</f>
        <v>17640</v>
      </c>
      <c r="E29" s="17"/>
      <c r="F29" s="187"/>
      <c r="G29" s="81"/>
      <c r="H29" s="192"/>
      <c r="I29" s="193"/>
      <c r="J29" s="192"/>
      <c r="K29" s="193"/>
      <c r="L29" s="20"/>
      <c r="M29" s="143" t="s">
        <v>72</v>
      </c>
    </row>
    <row r="30" spans="1:14" ht="18" customHeight="1">
      <c r="A30" s="17"/>
      <c r="B30" s="144" t="s">
        <v>25</v>
      </c>
      <c r="C30" s="25"/>
      <c r="D30" s="59">
        <f>IF(M21=2, 0, D28*2%)</f>
        <v>11760</v>
      </c>
      <c r="E30" s="18"/>
      <c r="F30" s="52" t="s">
        <v>45</v>
      </c>
      <c r="G30" s="45"/>
      <c r="H30" s="70">
        <v>3</v>
      </c>
      <c r="I30" s="86" t="str">
        <f>IF(H30=1,"tydzień",IF(AND(H30&lt;5,H30&gt;1),"tygodnie",IF(H30&gt;6,"WTF!?!","tygodni")))</f>
        <v>tygodnie</v>
      </c>
      <c r="J30" s="70">
        <v>2</v>
      </c>
      <c r="K30" s="86" t="str">
        <f>IF(J30=1,"tydzień",IF(AND(J30&lt;5,J30&gt;1),"tygodnie",IF(J30&gt;6,"WTF!?!","tygodni")))</f>
        <v>tygodnie</v>
      </c>
      <c r="L30" s="21"/>
      <c r="M30" s="143" t="s">
        <v>38</v>
      </c>
    </row>
    <row r="31" spans="1:14" ht="18" customHeight="1">
      <c r="A31" s="17"/>
      <c r="B31" s="49" t="s">
        <v>41</v>
      </c>
      <c r="C31" s="25"/>
      <c r="D31" s="51">
        <f>(1010+((D28-60000)*0.004))/2*1.23+IF(M11=1, 200+246+60, 200+246)+300</f>
        <v>2666.0299999999997</v>
      </c>
      <c r="E31" s="18"/>
      <c r="F31" s="69"/>
      <c r="G31" s="69"/>
      <c r="H31" s="69"/>
      <c r="I31" s="69"/>
      <c r="J31" s="69"/>
      <c r="K31" s="69"/>
      <c r="L31" s="21"/>
    </row>
    <row r="32" spans="1:14" ht="18" customHeight="1">
      <c r="A32" s="17"/>
      <c r="B32" s="36" t="s">
        <v>8</v>
      </c>
      <c r="C32" s="129"/>
      <c r="D32" s="51"/>
      <c r="E32" s="18"/>
      <c r="F32" s="171" t="s">
        <v>75</v>
      </c>
      <c r="G32" s="172"/>
      <c r="H32" s="195">
        <f>(H18+H20-H14-H24/12)*12/$D$36*100</f>
        <v>6.3017149683419955</v>
      </c>
      <c r="I32" s="196"/>
      <c r="J32" s="222">
        <f>(J18+J20-H14-H24/12)*12/$D$36*100</f>
        <v>8.0521250857253666</v>
      </c>
      <c r="K32" s="222"/>
      <c r="L32" s="21"/>
      <c r="M32" s="6" t="str">
        <f>IF(M11=3,M29,M30)</f>
        <v>własność</v>
      </c>
      <c r="N32" s="139" t="s">
        <v>97</v>
      </c>
    </row>
    <row r="33" spans="1:14" ht="18" customHeight="1">
      <c r="A33" s="17"/>
      <c r="B33" s="26" t="s">
        <v>4</v>
      </c>
      <c r="C33" s="25"/>
      <c r="D33" s="51"/>
      <c r="E33" s="18"/>
      <c r="F33" s="179" t="s">
        <v>79</v>
      </c>
      <c r="G33" s="179"/>
      <c r="H33" s="180">
        <f>((H18+H20)*(1-(H30/52))-H14-H24/12)*12/$D$36*100</f>
        <v>5.8246854367771483</v>
      </c>
      <c r="I33" s="181"/>
      <c r="J33" s="182">
        <f>((J18+J20)*(1-(J30/52))-H14-H24/12)*12/$D$36*100</f>
        <v>7.6667819319622632</v>
      </c>
      <c r="K33" s="182"/>
      <c r="L33" s="20"/>
      <c r="M33" s="6" t="str">
        <f>IF(M11&gt;1,M24,M22)</f>
        <v>nie dotyczy</v>
      </c>
      <c r="N33" s="139" t="s">
        <v>98</v>
      </c>
    </row>
    <row r="34" spans="1:14" ht="18" customHeight="1">
      <c r="A34" s="17"/>
      <c r="B34" s="26" t="s">
        <v>32</v>
      </c>
      <c r="C34" s="25"/>
      <c r="D34" s="51">
        <v>18000</v>
      </c>
      <c r="E34" s="18"/>
      <c r="F34" s="169" t="s">
        <v>80</v>
      </c>
      <c r="G34" s="170"/>
      <c r="H34" s="200">
        <f>(H18+H20-H14-H24/12-H23)*12/$D$36*100</f>
        <v>4.9787530674688174</v>
      </c>
      <c r="I34" s="201"/>
      <c r="J34" s="180">
        <f>(J18+J20-H14-H24/12-J23)*12/$D$36*100</f>
        <v>6.4490975660708481</v>
      </c>
      <c r="K34" s="181"/>
      <c r="L34" s="21"/>
      <c r="M34" s="6">
        <f>IF(M7=3,1.5%, IF(M11=3,10%,2.5%))</f>
        <v>0.1</v>
      </c>
      <c r="N34" s="139" t="s">
        <v>99</v>
      </c>
    </row>
    <row r="35" spans="1:14" ht="18" customHeight="1">
      <c r="A35" s="18"/>
      <c r="B35" s="24" t="s">
        <v>13</v>
      </c>
      <c r="C35" s="25"/>
      <c r="D35" s="51"/>
      <c r="E35" s="18"/>
      <c r="F35" s="216" t="s">
        <v>83</v>
      </c>
      <c r="G35" s="217"/>
      <c r="H35" s="207">
        <f>((H18+H20)*(1-(H30/52))-H14-H24/12-H23*(1-(H30/52)))*12/$D$36*100</f>
        <v>4.5780482609543451</v>
      </c>
      <c r="I35" s="208"/>
      <c r="J35" s="209">
        <f>((J18+J20)*(1-(J30/52))-H14-H24/12-J23*(1-(J30/52)))*12/$D$36*100</f>
        <v>6.12540931690984</v>
      </c>
      <c r="K35" s="210"/>
      <c r="L35" s="21"/>
      <c r="M35" s="6">
        <f>IF(G44=10%,19%,18%)</f>
        <v>0.19</v>
      </c>
      <c r="N35" s="139" t="s">
        <v>100</v>
      </c>
    </row>
    <row r="36" spans="1:14" ht="18" customHeight="1">
      <c r="A36" s="18"/>
      <c r="B36" s="102" t="s">
        <v>2</v>
      </c>
      <c r="C36" s="104"/>
      <c r="D36" s="134">
        <f>D28+SUM(D30:D35)</f>
        <v>620426.03</v>
      </c>
      <c r="E36" s="18"/>
      <c r="F36" s="76"/>
      <c r="G36" s="76"/>
      <c r="H36" s="76"/>
      <c r="I36" s="76"/>
      <c r="J36" s="76"/>
      <c r="K36" s="48"/>
      <c r="L36" s="21"/>
      <c r="M36" s="6" t="s">
        <v>76</v>
      </c>
    </row>
    <row r="37" spans="1:14" ht="18" customHeight="1">
      <c r="A37" s="18"/>
      <c r="B37" s="113" t="s">
        <v>47</v>
      </c>
      <c r="C37" s="114"/>
      <c r="D37" s="115">
        <f>D28+D33</f>
        <v>588000</v>
      </c>
      <c r="E37" s="19"/>
      <c r="F37" s="163" t="s">
        <v>48</v>
      </c>
      <c r="G37" s="164"/>
      <c r="H37" s="164"/>
      <c r="I37" s="164"/>
      <c r="J37" s="164"/>
      <c r="K37" s="165"/>
      <c r="L37" s="20"/>
      <c r="M37" s="139"/>
    </row>
    <row r="38" spans="1:14" ht="18" customHeight="1">
      <c r="A38" s="18"/>
      <c r="B38" s="116" t="s">
        <v>14</v>
      </c>
      <c r="C38" s="117"/>
      <c r="D38" s="60">
        <v>570000</v>
      </c>
      <c r="E38" s="19"/>
      <c r="F38" s="197" t="s">
        <v>82</v>
      </c>
      <c r="G38" s="198"/>
      <c r="H38" s="198"/>
      <c r="I38" s="198"/>
      <c r="J38" s="198"/>
      <c r="K38" s="199"/>
      <c r="L38" s="20"/>
    </row>
    <row r="39" spans="1:14" ht="18" customHeight="1">
      <c r="A39" s="18"/>
      <c r="B39" s="47"/>
      <c r="C39" s="47"/>
      <c r="D39" s="47"/>
      <c r="E39" s="19"/>
      <c r="F39" s="32" t="s">
        <v>21</v>
      </c>
      <c r="G39" s="43"/>
      <c r="H39" s="219">
        <f>(H18+H20)*0.085</f>
        <v>363.375</v>
      </c>
      <c r="I39" s="220"/>
      <c r="J39" s="221">
        <f>(J18+J20)*0.085</f>
        <v>440.3</v>
      </c>
      <c r="K39" s="221"/>
      <c r="L39" s="20"/>
    </row>
    <row r="40" spans="1:14" ht="18" customHeight="1">
      <c r="A40" s="18"/>
      <c r="B40" s="166" t="s">
        <v>51</v>
      </c>
      <c r="C40" s="166"/>
      <c r="D40" s="166"/>
      <c r="E40" s="19"/>
      <c r="F40" s="33" t="s">
        <v>22</v>
      </c>
      <c r="G40" s="44"/>
      <c r="H40" s="202">
        <f>(H18+H20-H39-H24/12)*(1-(H30/52))-$H$14-H23-$D$47</f>
        <v>-332.62780016426086</v>
      </c>
      <c r="I40" s="203"/>
      <c r="J40" s="202">
        <f>(J18+J20-J39-H24/12)*(1-(J30/52))-$H$14-J23-$D$47</f>
        <v>393.70120624599531</v>
      </c>
      <c r="K40" s="203"/>
      <c r="L40" s="20"/>
    </row>
    <row r="41" spans="1:14" ht="18" customHeight="1">
      <c r="A41" s="35"/>
      <c r="B41" s="27" t="s">
        <v>15</v>
      </c>
      <c r="C41" s="61"/>
      <c r="D41" s="78">
        <v>30</v>
      </c>
      <c r="E41" s="19"/>
      <c r="F41" s="100" t="s">
        <v>20</v>
      </c>
      <c r="G41" s="85"/>
      <c r="H41" s="99" t="str">
        <f>IF(AND($D$49&lt;0,H40&gt;0),"∞",IF(AND($D$49&lt;0,H40&lt;0),"hmmm...",IF(H40&lt;0,"hmmm...",H40*12/$D$49)))</f>
        <v>hmmm...</v>
      </c>
      <c r="I41" s="72" t="e">
        <f>IF(H41="∞","",IF(100%/H41*12&lt;48,"("&amp;INT(100%/H41*12)&amp;" mies.)","("&amp;MROUND(100%/H41,0.1)&amp;" lat)"))</f>
        <v>#VALUE!</v>
      </c>
      <c r="J41" s="99">
        <f>IF(AND($D$49&lt;0,J40&gt;0),"∞",IF(AND($D$49&lt;0,J40&lt;0),"hmmm...",IF(J40&lt;0,"hmmm...",J40*12/$D$49)))</f>
        <v>3.2444329617775894E-2</v>
      </c>
      <c r="K41" s="72" t="str">
        <f>IF(J41="∞","",IF(100%/J41*12&lt;48,"("&amp;INT(100%/J41*12)&amp;" mies.)","("&amp;MROUND(100%/J41,0.1)&amp;" lat)"))</f>
        <v>(30,8 lat)</v>
      </c>
      <c r="L41" s="20"/>
    </row>
    <row r="42" spans="1:14" ht="18" customHeight="1">
      <c r="A42" s="18"/>
      <c r="B42" s="28" t="s">
        <v>16</v>
      </c>
      <c r="C42" s="62"/>
      <c r="D42" s="74">
        <v>2.3E-2</v>
      </c>
      <c r="E42" s="34"/>
      <c r="F42" s="84" t="s">
        <v>89</v>
      </c>
      <c r="G42" s="85"/>
      <c r="H42" s="148">
        <f>12*((H18+H20-H39-H24/12)*(1-(H30/52))-$H$14-H23-$D$47)</f>
        <v>-3991.5336019711303</v>
      </c>
      <c r="I42" s="149"/>
      <c r="J42" s="148">
        <f>12*((J18+J20-J39-H24/12)*(1-(J30/52))-$H$14-J23-$D$47)</f>
        <v>4724.4144749519437</v>
      </c>
      <c r="K42" s="149"/>
      <c r="L42" s="20"/>
    </row>
    <row r="43" spans="1:14" ht="18" customHeight="1">
      <c r="A43" s="18"/>
      <c r="B43" s="28" t="s">
        <v>28</v>
      </c>
      <c r="C43" s="62"/>
      <c r="D43" s="74">
        <v>1.72E-2</v>
      </c>
      <c r="E43" s="19"/>
      <c r="F43" s="152" t="s">
        <v>81</v>
      </c>
      <c r="G43" s="153"/>
      <c r="H43" s="153"/>
      <c r="I43" s="153"/>
      <c r="J43" s="153"/>
      <c r="K43" s="154"/>
      <c r="L43" s="20"/>
    </row>
    <row r="44" spans="1:14" ht="18" customHeight="1">
      <c r="A44" s="18"/>
      <c r="B44" s="28" t="s">
        <v>17</v>
      </c>
      <c r="C44" s="62"/>
      <c r="D44" s="135">
        <f>D42+D43</f>
        <v>4.02E-2</v>
      </c>
      <c r="E44" s="19"/>
      <c r="F44" s="31" t="s">
        <v>34</v>
      </c>
      <c r="G44" s="91">
        <f>IF(M7=3,1.5%, IF(M11=3,10%,2.5%))</f>
        <v>0.1</v>
      </c>
      <c r="H44" s="157">
        <f>IF(M11=3,($D$48-D34-D29)*$G$44/12,($D$48-D34)*$G$44/12)</f>
        <v>4953.9669166666672</v>
      </c>
      <c r="I44" s="158"/>
      <c r="J44" s="158"/>
      <c r="K44" s="159"/>
      <c r="L44" s="15"/>
    </row>
    <row r="45" spans="1:14" ht="18" customHeight="1">
      <c r="A45" s="18"/>
      <c r="B45" s="29" t="s">
        <v>31</v>
      </c>
      <c r="C45" s="63"/>
      <c r="D45" s="75">
        <f>D46*2%</f>
        <v>9690</v>
      </c>
      <c r="E45" s="19"/>
      <c r="F45" s="31" t="s">
        <v>33</v>
      </c>
      <c r="G45" s="92">
        <f>IF(G44=10%,19%,18%)</f>
        <v>0.19</v>
      </c>
      <c r="H45" s="157">
        <f>(H18+H20-H24/12-$H$14-H23-$M$18-$H$44)*$G$45</f>
        <v>-758.07823664698185</v>
      </c>
      <c r="I45" s="159"/>
      <c r="J45" s="157">
        <f>(J18+J20-H24/12-$H$14-J23-$M$18-$H$44)*$G$45</f>
        <v>-613.64023664698186</v>
      </c>
      <c r="K45" s="159"/>
      <c r="L45" s="15"/>
    </row>
    <row r="46" spans="1:14" ht="18" customHeight="1">
      <c r="A46" s="18"/>
      <c r="B46" s="30" t="s">
        <v>19</v>
      </c>
      <c r="C46" s="64"/>
      <c r="D46" s="77">
        <f>D38*85%</f>
        <v>484500</v>
      </c>
      <c r="E46" s="41"/>
      <c r="F46" s="83" t="s">
        <v>22</v>
      </c>
      <c r="G46" s="46"/>
      <c r="H46" s="155">
        <f>(H18+H20-H24/12)*(1-(H30/52))-$H$14-H23-$D$47-H45</f>
        <v>767.86149417502816</v>
      </c>
      <c r="I46" s="156"/>
      <c r="J46" s="155">
        <f>(J18+J20-H24/12)*(1-(J30/52))-$H$14-J23-$D$47-J45</f>
        <v>1430.706827508362</v>
      </c>
      <c r="K46" s="156"/>
      <c r="L46" s="34"/>
      <c r="M46" s="6" t="s">
        <v>76</v>
      </c>
    </row>
    <row r="47" spans="1:14" ht="18" customHeight="1">
      <c r="A47" s="18"/>
      <c r="B47" s="119" t="s">
        <v>5</v>
      </c>
      <c r="C47" s="120"/>
      <c r="D47" s="136">
        <f>ABS(PMT(D44/12,D41*12,D46))</f>
        <v>2318.6669988822096</v>
      </c>
      <c r="E47" s="41"/>
      <c r="F47" s="83" t="s">
        <v>20</v>
      </c>
      <c r="G47" s="45"/>
      <c r="H47" s="101">
        <f>IF(AND($D$49&lt;0,H46&gt;0),"∞",IF(AND($D$49&lt;0,H46&lt;0),"hmmm...",IF(H46&lt;0,"hmmm...",H46*12/$D$49)))</f>
        <v>6.3278321281663399E-2</v>
      </c>
      <c r="I47" s="71" t="str">
        <f>IF(H47="∞","",IF(100%/H47*12&lt;48,"("&amp;INT(100%/H47*12)&amp;" mies.)","("&amp;MROUND(100%/H47,0.1)&amp;" lat)"))</f>
        <v>(15,8 lat)</v>
      </c>
      <c r="J47" s="101">
        <f>IF(AND($D$49&lt;0,J46&gt;0),"∞",IF(AND($D$49&lt;0,J46&lt;0),"hmmm...",IF(J46&lt;0,"hmmm...",J46*12/$D$49)))</f>
        <v>0.1179024172688978</v>
      </c>
      <c r="K47" s="71" t="str">
        <f>IF(J47="∞","",IF(100%/J47*12&lt;48,"("&amp;INT(100%/J47*12)&amp;" mies.)","("&amp;MROUND(100%/J47,0.1)&amp;" lat)"))</f>
        <v>(8,5 lat)</v>
      </c>
      <c r="L47" s="34"/>
    </row>
    <row r="48" spans="1:14" ht="18" customHeight="1">
      <c r="A48" s="53"/>
      <c r="B48" s="121" t="s">
        <v>18</v>
      </c>
      <c r="C48" s="122"/>
      <c r="D48" s="137">
        <f>D36+D45</f>
        <v>630116.03</v>
      </c>
      <c r="E48" s="48"/>
      <c r="F48" s="31" t="s">
        <v>90</v>
      </c>
      <c r="G48" s="45"/>
      <c r="H48" s="150">
        <f>(H18+H20-H24/12)*(1-(H30/52))-$H$14-H23-$D$47-IF(H45&lt;0,0,H45)</f>
        <v>9.7832575280463061</v>
      </c>
      <c r="I48" s="151"/>
      <c r="J48" s="150">
        <f>(J18+J20-H24/12)*(1-(J30/52))-$H$14-J23-$D$47-IF(J45&lt;0,0,J45)</f>
        <v>817.06659086138006</v>
      </c>
      <c r="K48" s="151"/>
      <c r="L48" s="34"/>
    </row>
    <row r="49" spans="1:12" ht="18" customHeight="1">
      <c r="A49" s="35"/>
      <c r="B49" s="121" t="s">
        <v>27</v>
      </c>
      <c r="C49" s="122"/>
      <c r="D49" s="138">
        <f>D48-D46</f>
        <v>145616.03000000003</v>
      </c>
      <c r="E49" s="48"/>
      <c r="F49" s="31" t="s">
        <v>89</v>
      </c>
      <c r="G49" s="45"/>
      <c r="H49" s="150">
        <f>12*((H18+H20-H24/12)*(1-(H30/52))-$H$14-H23-$D$47-H45)+$D$34*$G$45</f>
        <v>12634.337930100337</v>
      </c>
      <c r="I49" s="151"/>
      <c r="J49" s="150">
        <f>12*((J18+J20-H24/12)*(1-(J30/52))-$H$14-J23-$D$47-J45)+$D$34*$G$45</f>
        <v>20588.481930100344</v>
      </c>
      <c r="K49" s="151"/>
      <c r="L49" s="34"/>
    </row>
    <row r="50" spans="1:12" ht="9" customHeight="1">
      <c r="A50" s="18"/>
      <c r="B50" s="47"/>
      <c r="C50" s="47"/>
      <c r="D50" s="47"/>
      <c r="E50" s="96"/>
      <c r="F50" s="125"/>
      <c r="G50" s="125"/>
      <c r="H50" s="125"/>
      <c r="I50" s="125"/>
      <c r="J50" s="125"/>
      <c r="K50" s="48"/>
      <c r="L50" s="34"/>
    </row>
    <row r="51" spans="1:12" ht="18" customHeight="1">
      <c r="A51" s="128"/>
      <c r="B51" s="211" t="s">
        <v>106</v>
      </c>
      <c r="C51" s="211"/>
      <c r="D51" s="211"/>
      <c r="E51" s="128"/>
      <c r="F51" s="128"/>
      <c r="G51" s="128"/>
      <c r="H51" s="147" t="s">
        <v>105</v>
      </c>
      <c r="I51" s="145"/>
      <c r="J51" s="145"/>
      <c r="K51" s="145"/>
      <c r="L51" s="146"/>
    </row>
    <row r="52" spans="1:12" ht="15" hidden="1" customHeight="1"/>
    <row r="53" spans="1:12" ht="15" hidden="1" customHeight="1"/>
    <row r="54" spans="1:12" ht="15" hidden="1" customHeight="1"/>
    <row r="55" spans="1:12" ht="15" hidden="1" customHeight="1"/>
    <row r="56" spans="1:12" ht="15" hidden="1" customHeight="1"/>
    <row r="57" spans="1:12" ht="15" hidden="1" customHeight="1"/>
    <row r="58" spans="1:12" ht="15" hidden="1" customHeight="1"/>
    <row r="59" spans="1:12" ht="15" hidden="1" customHeight="1"/>
    <row r="60" spans="1:12" ht="15" hidden="1" customHeight="1"/>
    <row r="61" spans="1:12" ht="15" hidden="1" customHeight="1"/>
    <row r="62" spans="1:12" ht="15" hidden="1" customHeight="1"/>
  </sheetData>
  <customSheetViews>
    <customSheetView guid="{5C97960D-1A0F-42A4-942F-A6E68C8CF6BC}" showGridLines="0" showRowCol="0" hiddenRows="1" hiddenColumns="1" topLeftCell="A4">
      <selection activeCell="H30" sqref="H30"/>
      <pageMargins left="0.39370078740157483" right="0.39370078740157483" top="0.39370078740157483" bottom="0.39370078740157483" header="0" footer="0"/>
      <pageSetup paperSize="9" orientation="portrait" horizontalDpi="300" r:id="rId1"/>
    </customSheetView>
  </customSheetViews>
  <mergeCells count="67">
    <mergeCell ref="K4:K5"/>
    <mergeCell ref="H14:K14"/>
    <mergeCell ref="F5:G5"/>
    <mergeCell ref="F6:G6"/>
    <mergeCell ref="F7:G7"/>
    <mergeCell ref="F8:G8"/>
    <mergeCell ref="I4:J5"/>
    <mergeCell ref="F9:G9"/>
    <mergeCell ref="B51:D51"/>
    <mergeCell ref="F10:G10"/>
    <mergeCell ref="J34:K34"/>
    <mergeCell ref="H21:I21"/>
    <mergeCell ref="H23:I23"/>
    <mergeCell ref="F35:G35"/>
    <mergeCell ref="J19:K19"/>
    <mergeCell ref="H20:I20"/>
    <mergeCell ref="J20:K20"/>
    <mergeCell ref="H22:I22"/>
    <mergeCell ref="J21:K21"/>
    <mergeCell ref="J22:K22"/>
    <mergeCell ref="H46:I46"/>
    <mergeCell ref="H39:I39"/>
    <mergeCell ref="J39:K39"/>
    <mergeCell ref="J32:K32"/>
    <mergeCell ref="B40:D40"/>
    <mergeCell ref="F25:F29"/>
    <mergeCell ref="H25:I29"/>
    <mergeCell ref="J25:K29"/>
    <mergeCell ref="H24:K24"/>
    <mergeCell ref="H32:I32"/>
    <mergeCell ref="F37:K37"/>
    <mergeCell ref="F38:K38"/>
    <mergeCell ref="H34:I34"/>
    <mergeCell ref="H40:I40"/>
    <mergeCell ref="B27:D27"/>
    <mergeCell ref="B17:B24"/>
    <mergeCell ref="D21:D24"/>
    <mergeCell ref="J40:K40"/>
    <mergeCell ref="H35:I35"/>
    <mergeCell ref="J35:K35"/>
    <mergeCell ref="A1:L1"/>
    <mergeCell ref="B3:D3"/>
    <mergeCell ref="F3:K3"/>
    <mergeCell ref="D18:D19"/>
    <mergeCell ref="F34:G34"/>
    <mergeCell ref="F32:G32"/>
    <mergeCell ref="H17:I17"/>
    <mergeCell ref="H18:I18"/>
    <mergeCell ref="F16:K16"/>
    <mergeCell ref="J17:K17"/>
    <mergeCell ref="J18:K18"/>
    <mergeCell ref="H19:I19"/>
    <mergeCell ref="F33:G33"/>
    <mergeCell ref="H33:I33"/>
    <mergeCell ref="J33:K33"/>
    <mergeCell ref="J23:K23"/>
    <mergeCell ref="H42:I42"/>
    <mergeCell ref="J42:K42"/>
    <mergeCell ref="H49:I49"/>
    <mergeCell ref="J49:K49"/>
    <mergeCell ref="H48:I48"/>
    <mergeCell ref="J48:K48"/>
    <mergeCell ref="F43:K43"/>
    <mergeCell ref="J46:K46"/>
    <mergeCell ref="H44:K44"/>
    <mergeCell ref="H45:I45"/>
    <mergeCell ref="J45:K45"/>
  </mergeCells>
  <dataValidations count="15">
    <dataValidation type="decimal" allowBlank="1" showInputMessage="1" showErrorMessage="1" sqref="G44" xr:uid="{00000000-0002-0000-0000-000000000000}">
      <formula1>0</formula1>
      <formula2>0.1</formula2>
    </dataValidation>
    <dataValidation type="decimal" allowBlank="1" showInputMessage="1" showErrorMessage="1" sqref="G45" xr:uid="{00000000-0002-0000-0000-000001000000}">
      <formula1>0.18</formula1>
      <formula2>0.32</formula2>
    </dataValidation>
    <dataValidation type="decimal" allowBlank="1" showInputMessage="1" showErrorMessage="1" sqref="G21" xr:uid="{00000000-0002-0000-0000-000002000000}">
      <formula1>0</formula1>
      <formula2>0.3</formula2>
    </dataValidation>
    <dataValidation type="decimal" allowBlank="1" showInputMessage="1" showErrorMessage="1" sqref="G22" xr:uid="{00000000-0002-0000-0000-000003000000}">
      <formula1>0</formula1>
      <formula2>2</formula2>
    </dataValidation>
    <dataValidation type="list" allowBlank="1" showInputMessage="1" showErrorMessage="1" prompt="wybierz odpowiednią opcję z listy" sqref="D10" xr:uid="{00000000-0002-0000-0000-000004000000}">
      <formula1>$M$22:$M$24</formula1>
    </dataValidation>
    <dataValidation type="list" allowBlank="1" showInputMessage="1" showErrorMessage="1" prompt="wybierz odpowiednią opcję z listy" sqref="D7" xr:uid="{00000000-0002-0000-0000-000005000000}">
      <formula1>$M$8:$M$10</formula1>
    </dataValidation>
    <dataValidation type="list" allowBlank="1" showInputMessage="1" showErrorMessage="1" prompt="wybierz odpowiednią opcję z listy" sqref="B30" xr:uid="{00000000-0002-0000-0000-000006000000}">
      <formula1>$M$19:$M$20</formula1>
    </dataValidation>
    <dataValidation type="decimal" operator="greaterThan" allowBlank="1" showInputMessage="1" showErrorMessage="1" sqref="D8" xr:uid="{00000000-0002-0000-0000-000007000000}">
      <formula1>15</formula1>
    </dataValidation>
    <dataValidation type="whole" allowBlank="1" showInputMessage="1" showErrorMessage="1" sqref="D11" xr:uid="{00000000-0002-0000-0000-000008000000}">
      <formula1>1</formula1>
      <formula2>49</formula2>
    </dataValidation>
    <dataValidation type="whole" allowBlank="1" showInputMessage="1" showErrorMessage="1" sqref="D13" xr:uid="{00000000-0002-0000-0000-000009000000}">
      <formula1>1</formula1>
      <formula2>99</formula2>
    </dataValidation>
    <dataValidation type="list" allowBlank="1" showInputMessage="1" showErrorMessage="1" prompt="wybierz odpowiednią opcję z listy" sqref="D5" xr:uid="{00000000-0002-0000-0000-00000A000000}">
      <formula1>$M$3:$M$6</formula1>
    </dataValidation>
    <dataValidation type="whole" allowBlank="1" showInputMessage="1" showErrorMessage="1" sqref="H19:K19" xr:uid="{00000000-0002-0000-0000-00000B000000}">
      <formula1>0</formula1>
      <formula2>999</formula2>
    </dataValidation>
    <dataValidation type="list" allowBlank="1" showInputMessage="1" showErrorMessage="1" sqref="J11:J13 J6:J9" xr:uid="{00000000-0002-0000-0000-00000C000000}">
      <formula1>$M$26:$M$27</formula1>
    </dataValidation>
    <dataValidation type="list" allowBlank="1" showInputMessage="1" showErrorMessage="1" prompt="wybierz odpowiednią opcję z listy" sqref="D16" xr:uid="{00000000-0002-0000-0000-00000E000000}">
      <formula1>$M$12:$M$15</formula1>
    </dataValidation>
    <dataValidation type="list" allowBlank="1" showInputMessage="1" showErrorMessage="1" prompt="wybierz odpowiednią opcję z listy" sqref="D9" xr:uid="{00000000-0002-0000-0000-00000D000000}">
      <formula1>$M$29:$M$30</formula1>
    </dataValidation>
  </dataValidations>
  <hyperlinks>
    <hyperlink ref="H51" r:id="rId2" xr:uid="{00000000-0004-0000-0000-000000000000}"/>
  </hyperlinks>
  <pageMargins left="0.19685039370078741" right="0.19685039370078741" top="0.19685039370078741" bottom="0.19685039370078741" header="0.31496062992125984" footer="0.31496062992125984"/>
  <pageSetup paperSize="9" scale="75" fitToWidth="0" orientation="landscape" r:id="rId3"/>
  <ignoredErrors>
    <ignoredError sqref="G44:G45 K18 J19 D31 D45 K20 I20 M28 M7 M21 J13 J7:J9 M11 J10:J11 J12 M18 D29 D9:D10" unlockedFormula="1"/>
    <ignoredError sqref="J22 K10 J41 J47" formula="1"/>
    <ignoredError sqref="I41 I47" evalError="1" formula="1"/>
    <ignoredError sqref="K41 K47" evalError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 inwestycyjna</vt:lpstr>
    </vt:vector>
  </TitlesOfParts>
  <Manager/>
  <Company>Hryniewicz.pl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inwestycyjna mieszkania</dc:title>
  <dc:creator>Piotr Hryniewicz</dc:creator>
  <cp:lastModifiedBy>Marta</cp:lastModifiedBy>
  <cp:lastPrinted>2017-01-19T16:40:16Z</cp:lastPrinted>
  <dcterms:created xsi:type="dcterms:W3CDTF">2012-03-06T10:48:18Z</dcterms:created>
  <dcterms:modified xsi:type="dcterms:W3CDTF">2020-09-03T09:44:16Z</dcterms:modified>
</cp:coreProperties>
</file>